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60" activeTab="5"/>
  </bookViews>
  <sheets>
    <sheet name="计费对比表" sheetId="5" r:id="rId1"/>
    <sheet name="资产评估（高）" sheetId="2" r:id="rId2"/>
    <sheet name="房地产评估" sheetId="3" r:id="rId3"/>
    <sheet name="土地评估 " sheetId="4" r:id="rId4"/>
    <sheet name="资产评估（高低）" sheetId="7" r:id="rId5"/>
    <sheet name="资产评估（低）" sheetId="6" r:id="rId6"/>
    <sheet name="内蒙古标准" sheetId="8" r:id="rId7"/>
  </sheets>
  <externalReferences>
    <externalReference r:id="rId8"/>
  </externalReferences>
  <definedNames>
    <definedName name="_xlnm.Print_Area" localSheetId="2">房地产评估!$A$1:$K$8</definedName>
    <definedName name="_xlnm.Print_Area" localSheetId="3">'土地评估 '!$A$1:$K$8</definedName>
    <definedName name="_xlnm.Print_Area" localSheetId="5">'资产评估（低）'!$A$1:$Q$10</definedName>
    <definedName name="_xlnm.Print_Area" localSheetId="1">'资产评估（高）'!$A$1:$Q$10</definedName>
    <definedName name="_xlnm.Print_Area" localSheetId="4">'资产评估（高低）'!$A$1:$R$11</definedName>
  </definedNames>
  <calcPr calcId="144525"/>
</workbook>
</file>

<file path=xl/comments1.xml><?xml version="1.0" encoding="utf-8"?>
<comments xmlns="http://schemas.openxmlformats.org/spreadsheetml/2006/main">
  <authors>
    <author xml:space="preserve"> </author>
  </authors>
  <commentList>
    <comment ref="C2" authorId="0">
      <text>
        <r>
          <rPr>
            <b/>
            <sz val="9"/>
            <rFont val="宋体"/>
            <charset val="134"/>
          </rPr>
          <t>设备：委估设备账面值
房地产：暂估价值</t>
        </r>
      </text>
    </comment>
  </commentList>
</comments>
</file>

<file path=xl/sharedStrings.xml><?xml version="1.0" encoding="utf-8"?>
<sst xmlns="http://schemas.openxmlformats.org/spreadsheetml/2006/main" count="65">
  <si>
    <t>房屋建筑物评估收费对比表</t>
  </si>
  <si>
    <t>三类评估收费对比</t>
  </si>
  <si>
    <t>计费基数（万元）</t>
  </si>
  <si>
    <t>收费项目</t>
  </si>
  <si>
    <t>应收费（万元）</t>
  </si>
  <si>
    <t>综合费率（‰）</t>
  </si>
  <si>
    <t>收费依据</t>
  </si>
  <si>
    <t>资产评估(高)</t>
  </si>
  <si>
    <t>（中评协[2009]199号及发改价格[2009]2914号）</t>
  </si>
  <si>
    <t>资产评估(低)</t>
  </si>
  <si>
    <t>资产评估(高低/2)</t>
  </si>
  <si>
    <t>房地产价格评估</t>
  </si>
  <si>
    <t>（计价格[1995]971号）</t>
  </si>
  <si>
    <t>内蒙古资产评估</t>
  </si>
  <si>
    <t>土地价格评估</t>
  </si>
  <si>
    <t>（计价格[1994]2017号）</t>
  </si>
  <si>
    <t>《关于贯彻实施《资产评估收费管理办法》尽快做好</t>
  </si>
  <si>
    <t>资产评估收费管理工作的通知》的收费标准</t>
  </si>
  <si>
    <r>
      <rPr>
        <sz val="12"/>
        <rFont val="宋体"/>
        <charset val="134"/>
      </rPr>
      <t>（中评协[2009]199号及发改价格</t>
    </r>
    <r>
      <rPr>
        <sz val="12"/>
        <rFont val="宋体"/>
        <charset val="134"/>
      </rPr>
      <t>[2009]2914</t>
    </r>
    <r>
      <rPr>
        <sz val="12"/>
        <rFont val="宋体"/>
        <charset val="134"/>
      </rPr>
      <t>号）</t>
    </r>
  </si>
  <si>
    <t>计费单位</t>
  </si>
  <si>
    <r>
      <rPr>
        <sz val="10.5"/>
        <rFont val="宋体"/>
        <charset val="134"/>
      </rPr>
      <t>收费标准</t>
    </r>
    <r>
      <rPr>
        <sz val="10.5"/>
        <rFont val="Times New Roman"/>
        <charset val="1"/>
      </rPr>
      <t>(</t>
    </r>
    <r>
      <rPr>
        <sz val="10.5"/>
        <rFont val="宋体"/>
        <charset val="134"/>
      </rPr>
      <t>资产总额在</t>
    </r>
    <r>
      <rPr>
        <sz val="10.5"/>
        <rFont val="Times New Roman"/>
        <charset val="1"/>
      </rPr>
      <t>101</t>
    </r>
    <r>
      <rPr>
        <sz val="10.5"/>
        <rFont val="宋体"/>
        <charset val="134"/>
      </rPr>
      <t>万元以上的按规定费率累进计算</t>
    </r>
    <r>
      <rPr>
        <sz val="10.5"/>
        <rFont val="Times New Roman"/>
        <charset val="1"/>
      </rPr>
      <t>)</t>
    </r>
  </si>
  <si>
    <t>备注</t>
  </si>
  <si>
    <r>
      <rPr>
        <sz val="10.5"/>
        <rFont val="Times New Roman"/>
        <charset val="1"/>
      </rPr>
      <t>100</t>
    </r>
    <r>
      <rPr>
        <sz val="10.5"/>
        <rFont val="宋体"/>
        <charset val="134"/>
      </rPr>
      <t>万元及以下</t>
    </r>
  </si>
  <si>
    <r>
      <rPr>
        <sz val="10.5"/>
        <rFont val="Times New Roman"/>
        <charset val="1"/>
      </rPr>
      <t>101-1000</t>
    </r>
    <r>
      <rPr>
        <sz val="10.5"/>
        <rFont val="宋体"/>
        <charset val="134"/>
      </rPr>
      <t>万元</t>
    </r>
  </si>
  <si>
    <r>
      <rPr>
        <sz val="10.5"/>
        <rFont val="Times New Roman"/>
        <charset val="1"/>
      </rPr>
      <t>1001-5000</t>
    </r>
    <r>
      <rPr>
        <sz val="10.5"/>
        <rFont val="宋体"/>
        <charset val="134"/>
      </rPr>
      <t>万元</t>
    </r>
  </si>
  <si>
    <r>
      <rPr>
        <sz val="10.5"/>
        <rFont val="Times New Roman"/>
        <charset val="1"/>
      </rPr>
      <t>5001</t>
    </r>
    <r>
      <rPr>
        <sz val="10.5"/>
        <rFont val="宋体"/>
        <charset val="134"/>
      </rPr>
      <t>万元</t>
    </r>
    <r>
      <rPr>
        <sz val="10.5"/>
        <rFont val="Times New Roman"/>
        <charset val="1"/>
      </rPr>
      <t>-1</t>
    </r>
    <r>
      <rPr>
        <sz val="10.5"/>
        <rFont val="宋体"/>
        <charset val="134"/>
      </rPr>
      <t>亿元</t>
    </r>
  </si>
  <si>
    <r>
      <rPr>
        <sz val="10.5"/>
        <rFont val="Times New Roman"/>
        <charset val="1"/>
      </rPr>
      <t>1</t>
    </r>
    <r>
      <rPr>
        <sz val="10.5"/>
        <rFont val="宋体"/>
        <charset val="134"/>
      </rPr>
      <t>亿元</t>
    </r>
    <r>
      <rPr>
        <sz val="10.5"/>
        <rFont val="Times New Roman"/>
        <charset val="1"/>
      </rPr>
      <t>-10</t>
    </r>
    <r>
      <rPr>
        <sz val="10.5"/>
        <rFont val="宋体"/>
        <charset val="134"/>
      </rPr>
      <t>亿元</t>
    </r>
  </si>
  <si>
    <r>
      <rPr>
        <sz val="10.5"/>
        <rFont val="Times New Roman"/>
        <charset val="1"/>
      </rPr>
      <t>10</t>
    </r>
    <r>
      <rPr>
        <sz val="10.5"/>
        <rFont val="宋体"/>
        <charset val="134"/>
      </rPr>
      <t>亿元以上</t>
    </r>
  </si>
  <si>
    <t>项目</t>
  </si>
  <si>
    <t>低</t>
  </si>
  <si>
    <t>高</t>
  </si>
  <si>
    <t>计费额</t>
  </si>
  <si>
    <t>计费档次及计算过程</t>
  </si>
  <si>
    <t>资产评估</t>
  </si>
  <si>
    <t>资产总额或评估值分段计算收费（万元）</t>
  </si>
  <si>
    <t>累计收费（万元）</t>
  </si>
  <si>
    <t>计时收费平均标准分为四档，各档计时收费标准如下：
法人代表（首席合伙人）、首席评估师（总评估师）：300-3000元/人•小时；
合伙人、部门经理：260-2600元/人•小时；
注册评估师：200-2000元/人•小时；
助理人员：100-1000元/人•小时。</t>
  </si>
  <si>
    <t>速查表(万元)</t>
  </si>
  <si>
    <t>基数</t>
  </si>
  <si>
    <t>国家计委建设部关于房地产中介服务收费的通知</t>
  </si>
  <si>
    <t>计价格[1995]971号</t>
  </si>
  <si>
    <r>
      <rPr>
        <sz val="10.5"/>
        <rFont val="宋体"/>
        <charset val="134"/>
      </rPr>
      <t>收费标准</t>
    </r>
    <r>
      <rPr>
        <sz val="10.5"/>
        <rFont val="Times New Roman"/>
        <charset val="1"/>
      </rPr>
      <t>(</t>
    </r>
    <r>
      <rPr>
        <sz val="10.5"/>
        <rFont val="宋体"/>
        <charset val="134"/>
      </rPr>
      <t>房地产价格总额在</t>
    </r>
    <r>
      <rPr>
        <sz val="10.5"/>
        <rFont val="Times New Roman"/>
        <charset val="1"/>
      </rPr>
      <t>101</t>
    </r>
    <r>
      <rPr>
        <sz val="10.5"/>
        <rFont val="宋体"/>
        <charset val="134"/>
      </rPr>
      <t>万元以上的按规定费率累进计算</t>
    </r>
    <r>
      <rPr>
        <sz val="10.5"/>
        <rFont val="Times New Roman"/>
        <charset val="1"/>
      </rPr>
      <t>)</t>
    </r>
  </si>
  <si>
    <r>
      <rPr>
        <sz val="10.5"/>
        <rFont val="Times New Roman"/>
        <charset val="1"/>
      </rPr>
      <t>1001-2000</t>
    </r>
    <r>
      <rPr>
        <sz val="10.5"/>
        <rFont val="宋体"/>
        <charset val="134"/>
      </rPr>
      <t>万元</t>
    </r>
  </si>
  <si>
    <r>
      <rPr>
        <sz val="10.5"/>
        <rFont val="Times New Roman"/>
        <charset val="1"/>
      </rPr>
      <t>2001-5000</t>
    </r>
    <r>
      <rPr>
        <sz val="10.5"/>
        <rFont val="宋体"/>
        <charset val="134"/>
      </rPr>
      <t>万元</t>
    </r>
  </si>
  <si>
    <r>
      <rPr>
        <sz val="10.5"/>
        <rFont val="Times New Roman"/>
        <charset val="1"/>
      </rPr>
      <t>5001</t>
    </r>
    <r>
      <rPr>
        <sz val="10.5"/>
        <rFont val="宋体"/>
        <charset val="134"/>
      </rPr>
      <t>万元</t>
    </r>
    <r>
      <rPr>
        <sz val="10.5"/>
        <rFont val="Times New Roman"/>
        <charset val="1"/>
      </rPr>
      <t>-8000</t>
    </r>
    <r>
      <rPr>
        <sz val="10.5"/>
        <rFont val="宋体"/>
        <charset val="134"/>
      </rPr>
      <t>万元</t>
    </r>
  </si>
  <si>
    <r>
      <rPr>
        <sz val="10.5"/>
        <rFont val="Times New Roman"/>
        <charset val="1"/>
      </rPr>
      <t>8001</t>
    </r>
    <r>
      <rPr>
        <sz val="10.5"/>
        <rFont val="宋体"/>
        <charset val="134"/>
      </rPr>
      <t>万元</t>
    </r>
    <r>
      <rPr>
        <sz val="10.5"/>
        <rFont val="Times New Roman"/>
        <charset val="1"/>
      </rPr>
      <t>-1</t>
    </r>
    <r>
      <rPr>
        <sz val="10.5"/>
        <rFont val="宋体"/>
        <charset val="134"/>
      </rPr>
      <t>亿元</t>
    </r>
  </si>
  <si>
    <r>
      <rPr>
        <sz val="10.5"/>
        <rFont val="Times New Roman"/>
        <charset val="1"/>
      </rPr>
      <t>1</t>
    </r>
    <r>
      <rPr>
        <sz val="10.5"/>
        <rFont val="宋体"/>
        <charset val="134"/>
      </rPr>
      <t>亿元以上</t>
    </r>
  </si>
  <si>
    <t>房地产价格总额（万元）</t>
  </si>
  <si>
    <t>上述规定的房地产价格评估、房地产经纪收费为最高限标准。各省、自治区、直辖市物价、房地产行政主管部门可依据本通知制定当地具体执行的收费标准，报国家计委、建设部备案。对经济特区的收费标准可适当规定高一些，但最高不得超过上述收费标准的30％。</t>
  </si>
  <si>
    <t>国家计委、国家土地管理局关于土地价格评估收费的通知</t>
  </si>
  <si>
    <r>
      <rPr>
        <sz val="10.5"/>
        <rFont val="宋体"/>
        <charset val="134"/>
      </rPr>
      <t>收费标准</t>
    </r>
    <r>
      <rPr>
        <sz val="10.5"/>
        <rFont val="Times New Roman"/>
        <charset val="1"/>
      </rPr>
      <t>(</t>
    </r>
    <r>
      <rPr>
        <sz val="10.5"/>
        <rFont val="宋体"/>
        <charset val="134"/>
      </rPr>
      <t>土地价格总额在</t>
    </r>
    <r>
      <rPr>
        <sz val="10.5"/>
        <rFont val="Times New Roman"/>
        <charset val="1"/>
      </rPr>
      <t>101</t>
    </r>
    <r>
      <rPr>
        <sz val="10.5"/>
        <rFont val="宋体"/>
        <charset val="134"/>
      </rPr>
      <t>万元以上的按规定费率累进计算</t>
    </r>
    <r>
      <rPr>
        <sz val="10.5"/>
        <rFont val="Times New Roman"/>
        <charset val="1"/>
      </rPr>
      <t>)</t>
    </r>
  </si>
  <si>
    <r>
      <rPr>
        <sz val="10.5"/>
        <rFont val="Times New Roman"/>
        <charset val="1"/>
      </rPr>
      <t>101-200</t>
    </r>
    <r>
      <rPr>
        <sz val="10.5"/>
        <rFont val="宋体"/>
        <charset val="134"/>
      </rPr>
      <t>万元</t>
    </r>
  </si>
  <si>
    <r>
      <rPr>
        <sz val="10.5"/>
        <rFont val="Times New Roman"/>
        <charset val="1"/>
      </rPr>
      <t>201-1000</t>
    </r>
    <r>
      <rPr>
        <sz val="10.5"/>
        <rFont val="宋体"/>
        <charset val="134"/>
      </rPr>
      <t>万元</t>
    </r>
  </si>
  <si>
    <r>
      <rPr>
        <sz val="10.5"/>
        <rFont val="Times New Roman"/>
        <charset val="1"/>
      </rPr>
      <t>1000-2000</t>
    </r>
    <r>
      <rPr>
        <sz val="10.5"/>
        <rFont val="宋体"/>
        <charset val="134"/>
      </rPr>
      <t>万元</t>
    </r>
  </si>
  <si>
    <t>土地价格总额（万元）</t>
  </si>
  <si>
    <t>中国资产评估协会《关于贯彻实施《资产评估收费管理办法》尽快做好</t>
  </si>
  <si>
    <t>中</t>
  </si>
  <si>
    <t>总收费标准及费率</t>
  </si>
  <si>
    <t>最低标准</t>
  </si>
  <si>
    <t>最高标准</t>
  </si>
  <si>
    <t>平均标准</t>
  </si>
  <si>
    <t>资产总额或评估值</t>
  </si>
  <si>
    <t>内蒙古自治区发展和改革委员会内蒙古自治区财政厅《转发国</t>
  </si>
  <si>
    <t>家发展改革委、财政部关于发布〈资产评估收费管理办法〉的</t>
  </si>
  <si>
    <t>通知》（内发改费字〔2010〕3301号）</t>
  </si>
</sst>
</file>

<file path=xl/styles.xml><?xml version="1.0" encoding="utf-8"?>
<styleSheet xmlns="http://schemas.openxmlformats.org/spreadsheetml/2006/main">
  <numFmts count="11">
    <numFmt numFmtId="176" formatCode="0.0_ "/>
    <numFmt numFmtId="177" formatCode="#,##0.00_ "/>
    <numFmt numFmtId="178" formatCode="0.0000_ "/>
    <numFmt numFmtId="179" formatCode="0.000_ "/>
    <numFmt numFmtId="180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181" formatCode="0.00_ "/>
    <numFmt numFmtId="42" formatCode="_ &quot;￥&quot;* #,##0_ ;_ &quot;￥&quot;* \-#,##0_ ;_ &quot;￥&quot;* &quot;-&quot;_ ;_ @_ "/>
    <numFmt numFmtId="182" formatCode="0.000%"/>
    <numFmt numFmtId="43" formatCode="_ * #,##0.00_ ;_ * \-#,##0.00_ ;_ * &quot;-&quot;??_ ;_ @_ "/>
  </numFmts>
  <fonts count="30">
    <font>
      <sz val="12"/>
      <name val="宋体"/>
      <charset val="134"/>
    </font>
    <font>
      <sz val="10.5"/>
      <name val="宋体"/>
      <charset val="134"/>
    </font>
    <font>
      <sz val="22"/>
      <name val="宋体"/>
      <charset val="134"/>
    </font>
    <font>
      <sz val="10.5"/>
      <name val="Times New Roman"/>
      <charset val="1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6"/>
      <color indexed="10"/>
      <name val="宋体"/>
      <charset val="134"/>
    </font>
    <font>
      <b/>
      <sz val="12"/>
      <color indexed="48"/>
      <name val="宋体"/>
      <charset val="134"/>
    </font>
    <font>
      <sz val="10.5"/>
      <color indexed="48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2"/>
      <color indexed="36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2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2" fillId="25" borderId="18" applyNumberFormat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2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4" fillId="27" borderId="18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20" borderId="17" applyNumberFormat="0" applyAlignment="0" applyProtection="0">
      <alignment vertical="center"/>
    </xf>
    <xf numFmtId="0" fontId="27" fillId="27" borderId="21" applyNumberForma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/>
    <xf numFmtId="0" fontId="10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26" fillId="30" borderId="20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41" fontId="0" fillId="0" borderId="0" applyFont="0" applyFill="0" applyBorder="0" applyAlignment="0" applyProtection="0"/>
    <xf numFmtId="0" fontId="28" fillId="0" borderId="1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</cellStyleXfs>
  <cellXfs count="7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centerContinuous" vertical="center" wrapText="1"/>
    </xf>
    <xf numFmtId="0" fontId="2" fillId="2" borderId="0" xfId="0" applyFont="1" applyFill="1" applyBorder="1" applyAlignment="1">
      <alignment horizontal="centerContinuous" vertical="center" wrapText="1"/>
    </xf>
    <xf numFmtId="0" fontId="0" fillId="2" borderId="1" xfId="0" applyFont="1" applyFill="1" applyBorder="1" applyAlignment="1">
      <alignment horizontal="centerContinuous" vertical="center" wrapText="1"/>
    </xf>
    <xf numFmtId="0" fontId="0" fillId="2" borderId="2" xfId="0" applyFont="1" applyFill="1" applyBorder="1" applyAlignment="1">
      <alignment horizontal="centerContinuous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82" fontId="3" fillId="3" borderId="4" xfId="31" applyNumberFormat="1" applyFont="1" applyFill="1" applyBorder="1" applyAlignment="1">
      <alignment horizontal="center" vertical="center" wrapText="1"/>
    </xf>
    <xf numFmtId="180" fontId="0" fillId="4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178" fontId="4" fillId="6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9" fontId="5" fillId="2" borderId="4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78" fontId="6" fillId="2" borderId="4" xfId="0" applyNumberFormat="1" applyFont="1" applyFill="1" applyBorder="1" applyAlignment="1">
      <alignment vertical="center"/>
    </xf>
    <xf numFmtId="178" fontId="5" fillId="2" borderId="4" xfId="0" applyNumberFormat="1" applyFont="1" applyFill="1" applyBorder="1" applyAlignment="1">
      <alignment horizontal="right" vertical="center" shrinkToFit="1"/>
    </xf>
    <xf numFmtId="178" fontId="6" fillId="2" borderId="4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Continuous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180" fontId="0" fillId="4" borderId="7" xfId="0" applyNumberFormat="1" applyFill="1" applyBorder="1" applyAlignment="1">
      <alignment horizontal="center" vertical="center" wrapText="1"/>
    </xf>
    <xf numFmtId="180" fontId="0" fillId="4" borderId="8" xfId="0" applyNumberForma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80" fontId="0" fillId="4" borderId="9" xfId="0" applyNumberFormat="1" applyFill="1" applyBorder="1" applyAlignment="1">
      <alignment horizontal="center" vertical="center" wrapText="1"/>
    </xf>
    <xf numFmtId="10" fontId="3" fillId="3" borderId="4" xfId="31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0" fillId="7" borderId="0" xfId="0" applyFill="1" applyAlignment="1">
      <alignment vertical="center"/>
    </xf>
    <xf numFmtId="0" fontId="4" fillId="8" borderId="0" xfId="0" applyFont="1" applyFill="1" applyAlignment="1">
      <alignment horizontal="center" vertical="center"/>
    </xf>
    <xf numFmtId="181" fontId="4" fillId="2" borderId="4" xfId="0" applyNumberFormat="1" applyFont="1" applyFill="1" applyBorder="1" applyAlignment="1">
      <alignment horizontal="center" vertical="center" wrapText="1"/>
    </xf>
    <xf numFmtId="177" fontId="7" fillId="9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178" fontId="8" fillId="4" borderId="4" xfId="0" applyNumberFormat="1" applyFont="1" applyFill="1" applyBorder="1" applyAlignment="1">
      <alignment vertical="center"/>
    </xf>
    <xf numFmtId="176" fontId="8" fillId="4" borderId="4" xfId="0" applyNumberFormat="1" applyFont="1" applyFill="1" applyBorder="1" applyAlignment="1">
      <alignment vertical="center"/>
    </xf>
    <xf numFmtId="178" fontId="0" fillId="7" borderId="0" xfId="0" applyNumberFormat="1" applyFill="1" applyAlignment="1">
      <alignment vertical="center"/>
    </xf>
    <xf numFmtId="176" fontId="0" fillId="7" borderId="0" xfId="0" applyNumberFormat="1" applyFill="1" applyAlignment="1">
      <alignment vertical="center"/>
    </xf>
    <xf numFmtId="0" fontId="9" fillId="4" borderId="3" xfId="0" applyNumberFormat="1" applyFont="1" applyFill="1" applyBorder="1" applyAlignment="1">
      <alignment horizontal="center" vertical="center" wrapText="1"/>
    </xf>
    <xf numFmtId="0" fontId="9" fillId="4" borderId="5" xfId="0" applyNumberFormat="1" applyFont="1" applyFill="1" applyBorder="1" applyAlignment="1">
      <alignment horizontal="center"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FFCC99"/>
      <color rgb="00FF0000"/>
      <color rgb="00FFFFFF"/>
      <color rgb="00FFFF99"/>
      <color rgb="00FFFF00"/>
      <color rgb="003366FF"/>
      <color rgb="0000FF00"/>
      <color rgb="00CCFFCC"/>
      <color rgb="00CC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/&#20013;&#20215;&#25910;&#36153;&#26631;&#20934;/&#24037;&#31243;&#36896;&#20215;&#25910;&#36153;&#26631;&#20934;/&#25307;&#26631;&#21450;&#24037;&#31243;&#36896;&#20215;&#25910;&#36153;&#26631;&#2093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程造价咨询收费"/>
      <sheetName val="招标代理收费"/>
      <sheetName val="人工费计算表"/>
    </sheetNames>
    <sheetDataSet>
      <sheetData sheetId="0">
        <row r="9">
          <cell r="K9">
            <v>5.26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1"/>
  <sheetViews>
    <sheetView workbookViewId="0">
      <selection activeCell="B15" sqref="B15"/>
    </sheetView>
  </sheetViews>
  <sheetFormatPr defaultColWidth="9.14285714285714" defaultRowHeight="17.6" outlineLevelCol="4"/>
  <cols>
    <col min="1" max="1" width="9.25" style="56" customWidth="1"/>
    <col min="2" max="2" width="23.625" style="56" customWidth="1"/>
    <col min="3" max="4" width="15.5" style="56" customWidth="1"/>
    <col min="5" max="5" width="24.875" style="56" customWidth="1"/>
    <col min="6" max="16384" width="9" style="56"/>
  </cols>
  <sheetData>
    <row r="1" ht="35.25" customHeight="1" spans="1:5">
      <c r="A1" s="57" t="s">
        <v>0</v>
      </c>
      <c r="B1" s="57"/>
      <c r="C1" s="57"/>
      <c r="D1" s="57"/>
      <c r="E1" s="57"/>
    </row>
    <row r="2" ht="39.75" customHeight="1" spans="1:5">
      <c r="A2" s="22" t="s">
        <v>1</v>
      </c>
      <c r="B2" s="58" t="s">
        <v>2</v>
      </c>
      <c r="C2" s="59">
        <v>330000</v>
      </c>
      <c r="D2" s="59"/>
      <c r="E2" s="59"/>
    </row>
    <row r="3" ht="28.5" customHeight="1" spans="1:5">
      <c r="A3" s="22"/>
      <c r="B3" s="60" t="s">
        <v>3</v>
      </c>
      <c r="C3" s="60" t="s">
        <v>4</v>
      </c>
      <c r="D3" s="60" t="s">
        <v>5</v>
      </c>
      <c r="E3" s="60" t="s">
        <v>6</v>
      </c>
    </row>
    <row r="4" ht="28.5" customHeight="1" spans="1:5">
      <c r="A4" s="22"/>
      <c r="B4" s="61" t="s">
        <v>7</v>
      </c>
      <c r="C4" s="62">
        <f>'资产评估（高）'!D10</f>
        <v>89.88</v>
      </c>
      <c r="D4" s="63">
        <f>ROUND(C4/$C$2*1000,1)</f>
        <v>0.3</v>
      </c>
      <c r="E4" s="66" t="s">
        <v>8</v>
      </c>
    </row>
    <row r="5" ht="28.5" customHeight="1" spans="1:5">
      <c r="A5" s="22"/>
      <c r="B5" s="61" t="s">
        <v>9</v>
      </c>
      <c r="C5" s="62">
        <f>'资产评估（低）'!C10</f>
        <v>49.33</v>
      </c>
      <c r="D5" s="63">
        <f>C5/$C$2*1000</f>
        <v>0.149484848484848</v>
      </c>
      <c r="E5" s="67"/>
    </row>
    <row r="6" ht="28.5" customHeight="1" spans="1:5">
      <c r="A6" s="22"/>
      <c r="B6" s="61" t="s">
        <v>10</v>
      </c>
      <c r="C6" s="62">
        <f>(C4+C5)/2</f>
        <v>69.605</v>
      </c>
      <c r="D6" s="63">
        <f>C6/$C$2*1000</f>
        <v>0.210924242424242</v>
      </c>
      <c r="E6" s="68"/>
    </row>
    <row r="7" ht="28.5" customHeight="1" spans="1:5">
      <c r="A7" s="22"/>
      <c r="B7" s="61" t="s">
        <v>11</v>
      </c>
      <c r="C7" s="62">
        <f>房地产评估!C8</f>
        <v>40.25</v>
      </c>
      <c r="D7" s="63">
        <f>C7/$C$2*1000</f>
        <v>0.121969696969697</v>
      </c>
      <c r="E7" s="69" t="s">
        <v>12</v>
      </c>
    </row>
    <row r="8" ht="28.5" customHeight="1" spans="1:5">
      <c r="A8" s="22"/>
      <c r="B8" s="61" t="s">
        <v>13</v>
      </c>
      <c r="C8" s="62">
        <f>内蒙古标准!C10</f>
        <v>50.8</v>
      </c>
      <c r="D8" s="63">
        <f>C8/$C$2*1000</f>
        <v>0.153939393939394</v>
      </c>
      <c r="E8" s="69"/>
    </row>
    <row r="9" ht="28.5" customHeight="1" spans="1:5">
      <c r="A9" s="22"/>
      <c r="B9" s="61" t="s">
        <v>14</v>
      </c>
      <c r="C9" s="62">
        <f>'土地评估 '!C8</f>
        <v>39.4</v>
      </c>
      <c r="D9" s="63">
        <f>C9/$C$2*1000</f>
        <v>0.119393939393939</v>
      </c>
      <c r="E9" s="69" t="s">
        <v>15</v>
      </c>
    </row>
    <row r="11" spans="3:4">
      <c r="C11" s="64"/>
      <c r="D11" s="65">
        <f>D4+[1]工程造价咨询收费!$K$9</f>
        <v>5.56</v>
      </c>
    </row>
  </sheetData>
  <mergeCells count="4">
    <mergeCell ref="A1:E1"/>
    <mergeCell ref="C2:E2"/>
    <mergeCell ref="A2:A9"/>
    <mergeCell ref="E4:E6"/>
  </mergeCells>
  <pageMargins left="0.75" right="0.75" top="1" bottom="1" header="0.5" footer="0.5"/>
  <pageSetup paperSize="9" orientation="landscape" blackAndWhite="1" horizontalDpi="60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22"/>
  <sheetViews>
    <sheetView showZeros="0" workbookViewId="0">
      <selection activeCell="A11" sqref="A11:Q11"/>
    </sheetView>
  </sheetViews>
  <sheetFormatPr defaultColWidth="9.14285714285714" defaultRowHeight="17.6"/>
  <cols>
    <col min="1" max="1" width="4" style="3" customWidth="1"/>
    <col min="2" max="2" width="15.875" style="3" customWidth="1"/>
    <col min="3" max="3" width="9.5" style="3" customWidth="1"/>
    <col min="4" max="4" width="13.125" style="3" customWidth="1"/>
    <col min="5" max="5" width="9.625" style="3" hidden="1" customWidth="1"/>
    <col min="6" max="6" width="13.125" style="3" customWidth="1"/>
    <col min="7" max="7" width="11.625" style="3" hidden="1" customWidth="1"/>
    <col min="8" max="8" width="13.125" style="3" customWidth="1"/>
    <col min="9" max="9" width="11.625" style="3" hidden="1" customWidth="1"/>
    <col min="10" max="10" width="13.125" style="3" customWidth="1"/>
    <col min="11" max="11" width="11.625" style="3" hidden="1" customWidth="1"/>
    <col min="12" max="12" width="13.125" style="3" customWidth="1"/>
    <col min="13" max="13" width="11.625" style="3" hidden="1" customWidth="1"/>
    <col min="14" max="14" width="13.125" style="3" customWidth="1"/>
    <col min="15" max="15" width="11.625" style="3" hidden="1" customWidth="1"/>
    <col min="16" max="16" width="13.125" style="3" customWidth="1"/>
    <col min="17" max="17" width="8.375" style="3" customWidth="1"/>
    <col min="18" max="16384" width="9" style="3"/>
  </cols>
  <sheetData>
    <row r="1" s="1" customFormat="1" ht="46.5" customHeight="1" spans="1:17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="1" customFormat="1" ht="46.5" customHeight="1" spans="1:17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="1" customFormat="1" ht="26.25" customHeight="1" spans="1:17">
      <c r="A3" s="37" t="s">
        <v>18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36"/>
    </row>
    <row r="4" s="2" customFormat="1" ht="33.75" customHeight="1" spans="1:17">
      <c r="A4" s="9" t="s">
        <v>3</v>
      </c>
      <c r="B4" s="10" t="s">
        <v>19</v>
      </c>
      <c r="C4" s="10"/>
      <c r="D4" s="10"/>
      <c r="E4" s="10" t="s">
        <v>20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9" t="s">
        <v>21</v>
      </c>
    </row>
    <row r="5" s="2" customFormat="1" ht="33.75" customHeight="1" spans="1:17">
      <c r="A5" s="11"/>
      <c r="B5" s="10"/>
      <c r="C5" s="10"/>
      <c r="D5" s="10"/>
      <c r="E5" s="26" t="s">
        <v>22</v>
      </c>
      <c r="F5" s="26"/>
      <c r="G5" s="26" t="s">
        <v>23</v>
      </c>
      <c r="H5" s="26"/>
      <c r="I5" s="26" t="s">
        <v>24</v>
      </c>
      <c r="J5" s="26"/>
      <c r="K5" s="26" t="s">
        <v>25</v>
      </c>
      <c r="L5" s="26"/>
      <c r="M5" s="26" t="s">
        <v>26</v>
      </c>
      <c r="N5" s="26"/>
      <c r="O5" s="26" t="s">
        <v>27</v>
      </c>
      <c r="P5" s="26"/>
      <c r="Q5" s="11"/>
    </row>
    <row r="6" s="2" customFormat="1" ht="33.75" hidden="1" customHeight="1" spans="1:17">
      <c r="A6" s="11"/>
      <c r="B6" s="9" t="s">
        <v>28</v>
      </c>
      <c r="C6" s="10" t="s">
        <v>29</v>
      </c>
      <c r="D6" s="10" t="s">
        <v>30</v>
      </c>
      <c r="E6" s="10" t="s">
        <v>29</v>
      </c>
      <c r="F6" s="10" t="s">
        <v>30</v>
      </c>
      <c r="G6" s="10" t="s">
        <v>29</v>
      </c>
      <c r="H6" s="10" t="s">
        <v>30</v>
      </c>
      <c r="I6" s="10" t="s">
        <v>29</v>
      </c>
      <c r="J6" s="10" t="s">
        <v>30</v>
      </c>
      <c r="K6" s="10" t="s">
        <v>29</v>
      </c>
      <c r="L6" s="10" t="s">
        <v>30</v>
      </c>
      <c r="M6" s="10" t="s">
        <v>29</v>
      </c>
      <c r="N6" s="10" t="s">
        <v>30</v>
      </c>
      <c r="O6" s="10" t="s">
        <v>29</v>
      </c>
      <c r="P6" s="10" t="s">
        <v>30</v>
      </c>
      <c r="Q6" s="11"/>
    </row>
    <row r="7" s="2" customFormat="1" ht="33.75" customHeight="1" spans="1:17">
      <c r="A7" s="12"/>
      <c r="B7" s="12"/>
      <c r="C7" s="13" t="s">
        <v>31</v>
      </c>
      <c r="D7" s="14"/>
      <c r="E7" s="10"/>
      <c r="F7" s="27" t="s">
        <v>32</v>
      </c>
      <c r="G7" s="28"/>
      <c r="H7" s="28"/>
      <c r="I7" s="28"/>
      <c r="J7" s="28"/>
      <c r="K7" s="28"/>
      <c r="L7" s="28"/>
      <c r="M7" s="28"/>
      <c r="N7" s="28"/>
      <c r="O7" s="28"/>
      <c r="P7" s="33"/>
      <c r="Q7" s="12"/>
    </row>
    <row r="8" ht="33.75" customHeight="1" spans="1:17">
      <c r="A8" s="15" t="s">
        <v>33</v>
      </c>
      <c r="B8" s="16" t="s">
        <v>34</v>
      </c>
      <c r="C8" s="17">
        <f>C10/C9</f>
        <v>0.000149484848484848</v>
      </c>
      <c r="D8" s="17">
        <f>D10/C9</f>
        <v>0.000272363636363636</v>
      </c>
      <c r="E8" s="17">
        <v>0.009</v>
      </c>
      <c r="F8" s="17">
        <v>0.015</v>
      </c>
      <c r="G8" s="17">
        <v>0.00375</v>
      </c>
      <c r="H8" s="17">
        <v>0.00625</v>
      </c>
      <c r="I8" s="17">
        <v>0.0012</v>
      </c>
      <c r="J8" s="17">
        <v>0.002</v>
      </c>
      <c r="K8" s="17">
        <v>0.00075</v>
      </c>
      <c r="L8" s="17">
        <v>0.00125</v>
      </c>
      <c r="M8" s="17">
        <v>0.00015</v>
      </c>
      <c r="N8" s="17">
        <v>0.00025</v>
      </c>
      <c r="O8" s="17">
        <v>0.0001</v>
      </c>
      <c r="P8" s="17">
        <v>0.0002</v>
      </c>
      <c r="Q8" s="17"/>
    </row>
    <row r="9" ht="33.75" customHeight="1" spans="1:17">
      <c r="A9" s="15"/>
      <c r="B9" s="16"/>
      <c r="C9" s="18">
        <v>330000</v>
      </c>
      <c r="D9" s="18"/>
      <c r="E9" s="29">
        <f>IF(AND(0&lt;$C$9,$C$9&lt;=100),$C$9*E$8,0)+IF(AND($C$9&gt;100),100*E$8,0)</f>
        <v>0.9</v>
      </c>
      <c r="F9" s="29">
        <f>IF(AND(0&lt;$C$9,$C$9&lt;=100),$C$9*F$8,0)+IF(AND($C$9&gt;100),100*F$8,0)</f>
        <v>1.5</v>
      </c>
      <c r="G9" s="29">
        <f>IF(AND(100&lt;$C$9,$C$9&lt;=1000),($C$9-100)*G$8,0)+IF(AND($C$9&gt;1000),900*G$8,0)</f>
        <v>3.375</v>
      </c>
      <c r="H9" s="29">
        <f>IF(AND(100&lt;$C$9,$C$9&lt;=1000),($C$9-100)*H$8,0)+IF(AND($C$9&gt;1000),900*H$8,0)</f>
        <v>5.625</v>
      </c>
      <c r="I9" s="29">
        <f>IF(AND(1000&lt;$C$9,$C$9&lt;=5000),($C$9-1000)*I$8,"0")+IF(AND($C$9&gt;5000),4000*I$8,"0")</f>
        <v>4.8</v>
      </c>
      <c r="J9" s="29">
        <f>IF(AND(1000&lt;$C$9,$C$9&lt;=5000),($C$9-1000)*J$8,"0")+IF(AND($C$9&gt;5000),4000*J$8,"0")</f>
        <v>8</v>
      </c>
      <c r="K9" s="31">
        <f>IF(AND(5000&lt;$C$9,$C$9&lt;=10000),($C$9-5000)*K$8,"0")+IF(AND($C$9&gt;10000),5000*K$8,"0")</f>
        <v>3.75</v>
      </c>
      <c r="L9" s="31">
        <f>IF(AND(5000&lt;$C$9,$C$9&lt;=10000),($C$9-5000)*L$8,"0")+IF(AND($C$9&gt;10000),5000*L$8,"0")</f>
        <v>6.25</v>
      </c>
      <c r="M9" s="31">
        <f>IF(AND(10000&lt;$C$9,$C$9&lt;=100000),($C$9-10000)*M$8,"0")+IF(AND($C$9&gt;100000),90000*M$8,"0")</f>
        <v>13.5</v>
      </c>
      <c r="N9" s="31">
        <f>IF(AND(10000&lt;$C$9,$C$9&lt;=100000),($C$9-10000)*N$8,"0")+IF(AND($C$9&gt;100000),90000*N$8,"0")</f>
        <v>22.5</v>
      </c>
      <c r="O9" s="31">
        <f>IF(AND(100000&lt;$C$9),($C$9-100000)*O$8,0)</f>
        <v>23</v>
      </c>
      <c r="P9" s="31">
        <f>IF(AND($C$9&gt;100000),($C$9-100000)*P$8,0)</f>
        <v>46</v>
      </c>
      <c r="Q9" s="31"/>
    </row>
    <row r="10" ht="33.75" customHeight="1" spans="1:17">
      <c r="A10" s="15"/>
      <c r="B10" s="19" t="s">
        <v>35</v>
      </c>
      <c r="C10" s="20">
        <f>ROUND(SUM(E9,G9,I9,K9,M9,O9),2)</f>
        <v>49.33</v>
      </c>
      <c r="D10" s="20">
        <f>ROUND(SUM(F9,H9,J9,L9,N9,P9),2)</f>
        <v>89.88</v>
      </c>
      <c r="E10" s="29">
        <f>ROUND(IF(AND(0&lt;C9,C9&lt;=100),E9),2)</f>
        <v>0</v>
      </c>
      <c r="F10" s="29">
        <f>ROUND(IF(AND(0&lt;C9,C9&lt;=100),F9),2)</f>
        <v>0</v>
      </c>
      <c r="G10" s="29">
        <f>ROUND(IF(AND(100&lt;C9,C9&lt;=1000),100*E8+(C9-100)*G8,0),2)</f>
        <v>0</v>
      </c>
      <c r="H10" s="29">
        <f>ROUND(IF(AND(100&lt;C9,C9&lt;=1000),100*F8+(C9-100)*H8,0),2)</f>
        <v>0</v>
      </c>
      <c r="I10" s="29">
        <f>ROUND(IF(AND(1000&lt;C9,C9&lt;=5000),100*E8+900*G8+(C9-1000)*I8,0),2)</f>
        <v>0</v>
      </c>
      <c r="J10" s="29">
        <f>ROUND(IF(AND(1000&lt;C9,C9&lt;=5000),100*F8+900*H8+(C9-1000)*J8,0),2)</f>
        <v>0</v>
      </c>
      <c r="K10" s="31">
        <f>ROUND(IF(AND(5000&lt;C9,C9&lt;=10000),100*E8+900*G8+4000*I8+(C9-5000)*K8,0),2)</f>
        <v>0</v>
      </c>
      <c r="L10" s="31">
        <f>ROUND(IF(AND(5000&lt;C9,C9&lt;=10000),100*F8+900*H8+4000*J8+(C9-5000)*L8,0),2)</f>
        <v>0</v>
      </c>
      <c r="M10" s="31">
        <f>ROUND(IF(AND(10000&lt;C9,C9&lt;=100000),100*E8+900*G8+4000*I8+5000*K8+(C9-10000)*M8,0),2)</f>
        <v>0</v>
      </c>
      <c r="N10" s="31">
        <f>ROUND(IF(AND(10000&lt;C9,C9&lt;=100000),100*F8+900*H8+4000*J8+5000*L8+(C9-10000)*N8,0),2)</f>
        <v>0</v>
      </c>
      <c r="O10" s="31">
        <f>ROUND(IF(AND(100000&lt;C9),100*E8+900*G8+4000*I8+5000*K8+90000*M8+(C9-100000)*O8,0),2)</f>
        <v>49.33</v>
      </c>
      <c r="P10" s="31">
        <f>ROUND(IF(AND(100000&lt;C9),100*F8+900*H8+4000*J8+5000*L8+90000*N8+(C9-100000)*P8,0),2)</f>
        <v>89.88</v>
      </c>
      <c r="Q10" s="31"/>
    </row>
    <row r="11" s="4" customFormat="1" ht="77.25" customHeight="1" spans="1:17">
      <c r="A11" s="21" t="s">
        <v>36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="4" customFormat="1" ht="18" hidden="1" customHeight="1" spans="1:16">
      <c r="A12" s="49" t="s">
        <v>37</v>
      </c>
      <c r="B12" s="22" t="s">
        <v>38</v>
      </c>
      <c r="C12" s="10" t="s">
        <v>29</v>
      </c>
      <c r="D12" s="10" t="s">
        <v>30</v>
      </c>
      <c r="E12" s="22" t="s">
        <v>38</v>
      </c>
      <c r="F12" s="10" t="s">
        <v>29</v>
      </c>
      <c r="G12" s="10" t="s">
        <v>30</v>
      </c>
      <c r="H12" s="22" t="s">
        <v>38</v>
      </c>
      <c r="I12" s="10" t="s">
        <v>29</v>
      </c>
      <c r="J12" s="10" t="s">
        <v>30</v>
      </c>
      <c r="K12" s="22" t="s">
        <v>38</v>
      </c>
      <c r="L12" s="10" t="s">
        <v>29</v>
      </c>
      <c r="M12" s="10" t="s">
        <v>30</v>
      </c>
      <c r="N12" s="22" t="s">
        <v>38</v>
      </c>
      <c r="O12" s="10" t="s">
        <v>29</v>
      </c>
      <c r="P12" s="10" t="s">
        <v>30</v>
      </c>
    </row>
    <row r="13" s="4" customFormat="1" ht="18" hidden="1" customHeight="1" spans="1:16">
      <c r="A13" s="50"/>
      <c r="B13" s="23">
        <v>100</v>
      </c>
      <c r="C13" s="24">
        <f>ROUND(IF(AND(0&lt;$C$9,$C$9&lt;=100),$C$9*E$8,0)+IF(AND($C$9&gt;100),100*E$8,0),2)</f>
        <v>0.9</v>
      </c>
      <c r="D13" s="24">
        <f>ROUND(IF(AND(0&lt;$C$9,$C$9&lt;=100),$C$9*F$8,0)+IF(AND($C$9&gt;100),100*F$8,0),2)</f>
        <v>1.5</v>
      </c>
      <c r="E13" s="23">
        <v>1400</v>
      </c>
      <c r="F13" s="30">
        <f t="shared" ref="F13:F22" si="0">ROUND(IF(AND(1000&lt;E13,E13&lt;=5000),$C$22+(E13-1000)*$I$8,"0"),2)</f>
        <v>4.76</v>
      </c>
      <c r="G13" s="30">
        <f t="shared" ref="G13:G22" si="1">ROUND(IF(AND(1000&lt;E13,E13&lt;=5000),$D$22+(E13-1000)*$J$8,"0"),2)</f>
        <v>7.93</v>
      </c>
      <c r="H13" s="23">
        <v>5250</v>
      </c>
      <c r="I13" s="30">
        <f t="shared" ref="I13:I22" si="2">ROUND(IF(AND(5000&lt;H13,H13&lt;=10000),$F$22+(H13-5000)*$K$8,"0"),2)</f>
        <v>9.27</v>
      </c>
      <c r="J13" s="30">
        <f t="shared" ref="J13:J22" si="3">ROUND(IF(AND(5000&lt;H13,H13&lt;=10000),$G$22+(H13-5000)*$L$8,"0"),2)</f>
        <v>15.44</v>
      </c>
      <c r="K13" s="23">
        <v>7750</v>
      </c>
      <c r="L13" s="30">
        <f t="shared" ref="L13:L22" si="4">ROUND(IF(AND(5000&lt;K13,K13&lt;=10000),$F$22+(K13-5000)*$K$8,"0"),2)</f>
        <v>11.14</v>
      </c>
      <c r="M13" s="30">
        <f t="shared" ref="M13:M22" si="5">ROUND(IF(AND(5000&lt;K13,K13&lt;=10000),$G$22+(K13-5000)*$L$8,"0"),2)</f>
        <v>18.57</v>
      </c>
      <c r="N13" s="23">
        <v>11000</v>
      </c>
      <c r="O13" s="30">
        <f t="shared" ref="O13:O22" si="6">ROUND(IF(AND(10000&lt;N13,N13&lt;=100000),$L$22+(N13-10000)*$M$8,"0"),2)</f>
        <v>12.98</v>
      </c>
      <c r="P13" s="30">
        <f t="shared" ref="P13:P22" si="7">ROUND(IF(AND(10000&lt;N13,N13&lt;=100000),$M$22+(N13-10000)*$N$8,"0"),2)</f>
        <v>21.63</v>
      </c>
    </row>
    <row r="14" s="4" customFormat="1" ht="18" hidden="1" customHeight="1" spans="1:16">
      <c r="A14" s="50"/>
      <c r="B14" s="23">
        <v>200</v>
      </c>
      <c r="C14" s="24">
        <f t="shared" ref="C14:C22" si="8">ROUND(IF(AND(100&lt;B14,B14&lt;=1000),$C$13+(B14-100)*$G$8,0),2)</f>
        <v>1.28</v>
      </c>
      <c r="D14" s="24">
        <f t="shared" ref="D14:D22" si="9">ROUND(IF(AND(100&lt;B14,B14&lt;=1000),$D$13+(B14-100)*$H$8,0),2)</f>
        <v>2.13</v>
      </c>
      <c r="E14" s="23">
        <v>1800</v>
      </c>
      <c r="F14" s="30">
        <f t="shared" si="0"/>
        <v>5.24</v>
      </c>
      <c r="G14" s="30">
        <f t="shared" si="1"/>
        <v>8.73</v>
      </c>
      <c r="H14" s="23">
        <v>5500</v>
      </c>
      <c r="I14" s="30">
        <f t="shared" si="2"/>
        <v>9.46</v>
      </c>
      <c r="J14" s="30">
        <f t="shared" si="3"/>
        <v>15.76</v>
      </c>
      <c r="K14" s="23">
        <v>8000</v>
      </c>
      <c r="L14" s="30">
        <f t="shared" si="4"/>
        <v>11.33</v>
      </c>
      <c r="M14" s="30">
        <f t="shared" si="5"/>
        <v>18.88</v>
      </c>
      <c r="N14" s="23">
        <v>12000</v>
      </c>
      <c r="O14" s="30">
        <f t="shared" si="6"/>
        <v>13.13</v>
      </c>
      <c r="P14" s="30">
        <f t="shared" si="7"/>
        <v>21.88</v>
      </c>
    </row>
    <row r="15" s="4" customFormat="1" ht="18" hidden="1" customHeight="1" spans="1:16">
      <c r="A15" s="50"/>
      <c r="B15" s="23">
        <v>300</v>
      </c>
      <c r="C15" s="24">
        <f t="shared" si="8"/>
        <v>1.65</v>
      </c>
      <c r="D15" s="24">
        <f t="shared" si="9"/>
        <v>2.75</v>
      </c>
      <c r="E15" s="23">
        <v>2200</v>
      </c>
      <c r="F15" s="30">
        <f t="shared" si="0"/>
        <v>5.72</v>
      </c>
      <c r="G15" s="30">
        <f t="shared" si="1"/>
        <v>9.53</v>
      </c>
      <c r="H15" s="23">
        <v>5750</v>
      </c>
      <c r="I15" s="30">
        <f t="shared" si="2"/>
        <v>9.64</v>
      </c>
      <c r="J15" s="30">
        <f t="shared" si="3"/>
        <v>16.07</v>
      </c>
      <c r="K15" s="23">
        <v>8250</v>
      </c>
      <c r="L15" s="30">
        <f t="shared" si="4"/>
        <v>11.52</v>
      </c>
      <c r="M15" s="30">
        <f t="shared" si="5"/>
        <v>19.19</v>
      </c>
      <c r="N15" s="23">
        <v>15000</v>
      </c>
      <c r="O15" s="30">
        <f t="shared" si="6"/>
        <v>13.58</v>
      </c>
      <c r="P15" s="30">
        <f t="shared" si="7"/>
        <v>22.63</v>
      </c>
    </row>
    <row r="16" s="4" customFormat="1" ht="18" hidden="1" customHeight="1" spans="1:16">
      <c r="A16" s="50"/>
      <c r="B16" s="23">
        <v>400</v>
      </c>
      <c r="C16" s="24">
        <f t="shared" si="8"/>
        <v>2.03</v>
      </c>
      <c r="D16" s="24">
        <f t="shared" si="9"/>
        <v>3.38</v>
      </c>
      <c r="E16" s="23">
        <v>2600</v>
      </c>
      <c r="F16" s="30">
        <f t="shared" si="0"/>
        <v>6.2</v>
      </c>
      <c r="G16" s="30">
        <f t="shared" si="1"/>
        <v>10.33</v>
      </c>
      <c r="H16" s="23">
        <v>6000</v>
      </c>
      <c r="I16" s="30">
        <f t="shared" si="2"/>
        <v>9.83</v>
      </c>
      <c r="J16" s="30">
        <f t="shared" si="3"/>
        <v>16.38</v>
      </c>
      <c r="K16" s="23">
        <v>8500</v>
      </c>
      <c r="L16" s="30">
        <f t="shared" si="4"/>
        <v>11.71</v>
      </c>
      <c r="M16" s="30">
        <f t="shared" si="5"/>
        <v>19.51</v>
      </c>
      <c r="N16" s="23">
        <v>20000</v>
      </c>
      <c r="O16" s="30">
        <f t="shared" si="6"/>
        <v>14.33</v>
      </c>
      <c r="P16" s="30">
        <f t="shared" si="7"/>
        <v>23.88</v>
      </c>
    </row>
    <row r="17" s="4" customFormat="1" ht="18" hidden="1" customHeight="1" spans="1:16">
      <c r="A17" s="50"/>
      <c r="B17" s="23">
        <v>500</v>
      </c>
      <c r="C17" s="24">
        <f t="shared" si="8"/>
        <v>2.4</v>
      </c>
      <c r="D17" s="24">
        <f t="shared" si="9"/>
        <v>4</v>
      </c>
      <c r="E17" s="23">
        <v>3000</v>
      </c>
      <c r="F17" s="30">
        <f t="shared" si="0"/>
        <v>6.68</v>
      </c>
      <c r="G17" s="30">
        <f t="shared" si="1"/>
        <v>11.13</v>
      </c>
      <c r="H17" s="23">
        <v>6250</v>
      </c>
      <c r="I17" s="30">
        <f t="shared" si="2"/>
        <v>10.02</v>
      </c>
      <c r="J17" s="30">
        <f t="shared" si="3"/>
        <v>16.69</v>
      </c>
      <c r="K17" s="23">
        <v>8750</v>
      </c>
      <c r="L17" s="30">
        <f t="shared" si="4"/>
        <v>11.89</v>
      </c>
      <c r="M17" s="30">
        <f t="shared" si="5"/>
        <v>19.82</v>
      </c>
      <c r="N17" s="23">
        <v>30000</v>
      </c>
      <c r="O17" s="30">
        <f t="shared" si="6"/>
        <v>15.83</v>
      </c>
      <c r="P17" s="30">
        <f t="shared" si="7"/>
        <v>26.38</v>
      </c>
    </row>
    <row r="18" s="4" customFormat="1" ht="18" hidden="1" customHeight="1" spans="1:16">
      <c r="A18" s="50"/>
      <c r="B18" s="23">
        <v>600</v>
      </c>
      <c r="C18" s="24">
        <f t="shared" si="8"/>
        <v>2.78</v>
      </c>
      <c r="D18" s="24">
        <f t="shared" si="9"/>
        <v>4.63</v>
      </c>
      <c r="E18" s="23">
        <v>3400</v>
      </c>
      <c r="F18" s="30">
        <f t="shared" si="0"/>
        <v>7.16</v>
      </c>
      <c r="G18" s="30">
        <f t="shared" si="1"/>
        <v>11.93</v>
      </c>
      <c r="H18" s="23">
        <v>6500</v>
      </c>
      <c r="I18" s="30">
        <f t="shared" si="2"/>
        <v>10.21</v>
      </c>
      <c r="J18" s="30">
        <f t="shared" si="3"/>
        <v>17.01</v>
      </c>
      <c r="K18" s="23">
        <v>9000</v>
      </c>
      <c r="L18" s="30">
        <f t="shared" si="4"/>
        <v>12.08</v>
      </c>
      <c r="M18" s="30">
        <f t="shared" si="5"/>
        <v>20.13</v>
      </c>
      <c r="N18" s="23">
        <v>40000</v>
      </c>
      <c r="O18" s="30">
        <f t="shared" si="6"/>
        <v>17.33</v>
      </c>
      <c r="P18" s="30">
        <f t="shared" si="7"/>
        <v>28.88</v>
      </c>
    </row>
    <row r="19" s="4" customFormat="1" ht="18" hidden="1" customHeight="1" spans="1:16">
      <c r="A19" s="50"/>
      <c r="B19" s="23">
        <v>700</v>
      </c>
      <c r="C19" s="24">
        <f t="shared" si="8"/>
        <v>3.15</v>
      </c>
      <c r="D19" s="24">
        <f t="shared" si="9"/>
        <v>5.25</v>
      </c>
      <c r="E19" s="23">
        <v>3800</v>
      </c>
      <c r="F19" s="30">
        <f t="shared" si="0"/>
        <v>7.64</v>
      </c>
      <c r="G19" s="30">
        <f t="shared" si="1"/>
        <v>12.73</v>
      </c>
      <c r="H19" s="23">
        <v>6750</v>
      </c>
      <c r="I19" s="30">
        <f t="shared" si="2"/>
        <v>10.39</v>
      </c>
      <c r="J19" s="30">
        <f t="shared" si="3"/>
        <v>17.32</v>
      </c>
      <c r="K19" s="23">
        <v>9250</v>
      </c>
      <c r="L19" s="30">
        <f t="shared" si="4"/>
        <v>12.27</v>
      </c>
      <c r="M19" s="30">
        <f t="shared" si="5"/>
        <v>20.44</v>
      </c>
      <c r="N19" s="23">
        <v>50000</v>
      </c>
      <c r="O19" s="30">
        <f t="shared" si="6"/>
        <v>18.83</v>
      </c>
      <c r="P19" s="30">
        <f t="shared" si="7"/>
        <v>31.38</v>
      </c>
    </row>
    <row r="20" s="4" customFormat="1" ht="18" hidden="1" customHeight="1" spans="1:16">
      <c r="A20" s="50"/>
      <c r="B20" s="23">
        <v>800</v>
      </c>
      <c r="C20" s="24">
        <f t="shared" si="8"/>
        <v>3.53</v>
      </c>
      <c r="D20" s="24">
        <f t="shared" si="9"/>
        <v>5.88</v>
      </c>
      <c r="E20" s="23">
        <v>4200</v>
      </c>
      <c r="F20" s="30">
        <f t="shared" si="0"/>
        <v>8.12</v>
      </c>
      <c r="G20" s="30">
        <f t="shared" si="1"/>
        <v>13.53</v>
      </c>
      <c r="H20" s="23">
        <v>7000</v>
      </c>
      <c r="I20" s="30">
        <f t="shared" si="2"/>
        <v>10.58</v>
      </c>
      <c r="J20" s="30">
        <f t="shared" si="3"/>
        <v>17.63</v>
      </c>
      <c r="K20" s="23">
        <v>9500</v>
      </c>
      <c r="L20" s="30">
        <f t="shared" si="4"/>
        <v>12.46</v>
      </c>
      <c r="M20" s="30">
        <f t="shared" si="5"/>
        <v>20.76</v>
      </c>
      <c r="N20" s="23">
        <v>65000</v>
      </c>
      <c r="O20" s="30">
        <f t="shared" si="6"/>
        <v>21.08</v>
      </c>
      <c r="P20" s="30">
        <f t="shared" si="7"/>
        <v>35.13</v>
      </c>
    </row>
    <row r="21" s="4" customFormat="1" ht="18" hidden="1" customHeight="1" spans="1:16">
      <c r="A21" s="50"/>
      <c r="B21" s="23">
        <v>900</v>
      </c>
      <c r="C21" s="24">
        <f t="shared" si="8"/>
        <v>3.9</v>
      </c>
      <c r="D21" s="24">
        <f t="shared" si="9"/>
        <v>6.5</v>
      </c>
      <c r="E21" s="23">
        <v>4600</v>
      </c>
      <c r="F21" s="30">
        <f t="shared" si="0"/>
        <v>8.6</v>
      </c>
      <c r="G21" s="30">
        <f t="shared" si="1"/>
        <v>14.33</v>
      </c>
      <c r="H21" s="23">
        <v>7250</v>
      </c>
      <c r="I21" s="30">
        <f t="shared" si="2"/>
        <v>10.77</v>
      </c>
      <c r="J21" s="30">
        <f t="shared" si="3"/>
        <v>17.94</v>
      </c>
      <c r="K21" s="23">
        <v>9750</v>
      </c>
      <c r="L21" s="30">
        <f t="shared" si="4"/>
        <v>12.64</v>
      </c>
      <c r="M21" s="30">
        <f t="shared" si="5"/>
        <v>21.07</v>
      </c>
      <c r="N21" s="23">
        <v>80000</v>
      </c>
      <c r="O21" s="30">
        <f t="shared" si="6"/>
        <v>23.33</v>
      </c>
      <c r="P21" s="30">
        <f t="shared" si="7"/>
        <v>38.88</v>
      </c>
    </row>
    <row r="22" s="4" customFormat="1" ht="18" hidden="1" customHeight="1" spans="1:16">
      <c r="A22" s="51"/>
      <c r="B22" s="23">
        <v>1000</v>
      </c>
      <c r="C22" s="24">
        <f t="shared" si="8"/>
        <v>4.28</v>
      </c>
      <c r="D22" s="24">
        <f t="shared" si="9"/>
        <v>7.13</v>
      </c>
      <c r="E22" s="23">
        <v>5000</v>
      </c>
      <c r="F22" s="30">
        <f t="shared" si="0"/>
        <v>9.08</v>
      </c>
      <c r="G22" s="30">
        <f t="shared" si="1"/>
        <v>15.13</v>
      </c>
      <c r="H22" s="23">
        <v>7500</v>
      </c>
      <c r="I22" s="30">
        <f t="shared" si="2"/>
        <v>10.96</v>
      </c>
      <c r="J22" s="30">
        <f t="shared" si="3"/>
        <v>18.26</v>
      </c>
      <c r="K22" s="23">
        <v>10000</v>
      </c>
      <c r="L22" s="30">
        <f t="shared" si="4"/>
        <v>12.83</v>
      </c>
      <c r="M22" s="30">
        <f t="shared" si="5"/>
        <v>21.38</v>
      </c>
      <c r="N22" s="23">
        <v>100000</v>
      </c>
      <c r="O22" s="30">
        <f t="shared" si="6"/>
        <v>26.33</v>
      </c>
      <c r="P22" s="30">
        <f t="shared" si="7"/>
        <v>43.88</v>
      </c>
    </row>
  </sheetData>
  <mergeCells count="21">
    <mergeCell ref="A1:P1"/>
    <mergeCell ref="A2:P2"/>
    <mergeCell ref="A3:P3"/>
    <mergeCell ref="E4:P4"/>
    <mergeCell ref="E5:F5"/>
    <mergeCell ref="G5:H5"/>
    <mergeCell ref="I5:J5"/>
    <mergeCell ref="K5:L5"/>
    <mergeCell ref="M5:N5"/>
    <mergeCell ref="O5:P5"/>
    <mergeCell ref="C7:D7"/>
    <mergeCell ref="F7:P7"/>
    <mergeCell ref="C9:D9"/>
    <mergeCell ref="A11:Q11"/>
    <mergeCell ref="A4:A7"/>
    <mergeCell ref="A8:A10"/>
    <mergeCell ref="A12:A22"/>
    <mergeCell ref="B6:B7"/>
    <mergeCell ref="B8:B9"/>
    <mergeCell ref="Q4:Q7"/>
    <mergeCell ref="B4:D5"/>
  </mergeCells>
  <printOptions horizontalCentered="1"/>
  <pageMargins left="0.75" right="0.75" top="0.979166666666667" bottom="0.979166666666667" header="0.509027777777778" footer="0.509027777777778"/>
  <pageSetup paperSize="9" fitToHeight="0" orientation="landscape" blackAndWhite="1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10"/>
  <sheetViews>
    <sheetView showZeros="0" workbookViewId="0">
      <selection activeCell="C8" sqref="C8"/>
    </sheetView>
  </sheetViews>
  <sheetFormatPr defaultColWidth="9.14285714285714" defaultRowHeight="17.6"/>
  <cols>
    <col min="1" max="1" width="8.5" style="3"/>
    <col min="2" max="2" width="17.125" style="3" customWidth="1"/>
    <col min="3" max="3" width="10.5" style="3"/>
    <col min="4" max="7" width="9.625" style="3" customWidth="1"/>
    <col min="8" max="10" width="10.75" style="3" customWidth="1"/>
    <col min="11" max="11" width="9.5" style="3"/>
    <col min="12" max="16384" width="9" style="3"/>
  </cols>
  <sheetData>
    <row r="1" s="1" customFormat="1" ht="46.5" customHeight="1" spans="1:11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="1" customFormat="1" ht="26.25" customHeight="1" spans="1:11">
      <c r="A2" s="37" t="s">
        <v>40</v>
      </c>
      <c r="B2" s="38"/>
      <c r="C2" s="38"/>
      <c r="D2" s="38"/>
      <c r="E2" s="38"/>
      <c r="F2" s="38"/>
      <c r="G2" s="38"/>
      <c r="H2" s="38"/>
      <c r="I2" s="38"/>
      <c r="J2" s="39"/>
      <c r="K2" s="36"/>
    </row>
    <row r="3" s="2" customFormat="1" ht="33.75" customHeight="1" spans="1:11">
      <c r="A3" s="9" t="s">
        <v>3</v>
      </c>
      <c r="B3" s="10" t="s">
        <v>19</v>
      </c>
      <c r="C3" s="10"/>
      <c r="D3" s="10" t="s">
        <v>41</v>
      </c>
      <c r="E3" s="10"/>
      <c r="F3" s="10"/>
      <c r="G3" s="10"/>
      <c r="H3" s="10"/>
      <c r="I3" s="10"/>
      <c r="J3" s="10"/>
      <c r="K3" s="9" t="s">
        <v>21</v>
      </c>
    </row>
    <row r="4" s="2" customFormat="1" ht="33.75" customHeight="1" spans="1:11">
      <c r="A4" s="11"/>
      <c r="B4" s="10"/>
      <c r="C4" s="10"/>
      <c r="D4" s="26" t="s">
        <v>22</v>
      </c>
      <c r="E4" s="26" t="s">
        <v>23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11"/>
    </row>
    <row r="5" s="2" customFormat="1" ht="33.75" customHeight="1" spans="1:11">
      <c r="A5" s="12"/>
      <c r="B5" s="55" t="s">
        <v>28</v>
      </c>
      <c r="C5" s="27" t="s">
        <v>31</v>
      </c>
      <c r="D5" s="27" t="s">
        <v>32</v>
      </c>
      <c r="E5" s="28"/>
      <c r="F5" s="28"/>
      <c r="G5" s="28"/>
      <c r="H5" s="28"/>
      <c r="I5" s="28"/>
      <c r="J5" s="28"/>
      <c r="K5" s="12"/>
    </row>
    <row r="6" ht="33.75" customHeight="1" spans="1:11">
      <c r="A6" s="15" t="s">
        <v>11</v>
      </c>
      <c r="B6" s="16" t="s">
        <v>47</v>
      </c>
      <c r="C6" s="17">
        <f>C8/C7</f>
        <v>0.000121969696969697</v>
      </c>
      <c r="D6" s="54">
        <v>0.005</v>
      </c>
      <c r="E6" s="54">
        <v>0.0025</v>
      </c>
      <c r="F6" s="54">
        <v>0.0015</v>
      </c>
      <c r="G6" s="54">
        <v>0.0008</v>
      </c>
      <c r="H6" s="54">
        <v>0.0004</v>
      </c>
      <c r="I6" s="54">
        <v>0.0002</v>
      </c>
      <c r="J6" s="54">
        <v>0.0001</v>
      </c>
      <c r="K6" s="17"/>
    </row>
    <row r="7" ht="33.75" customHeight="1" spans="1:11">
      <c r="A7" s="15"/>
      <c r="B7" s="16"/>
      <c r="C7" s="18">
        <f>计费对比表!C2</f>
        <v>330000</v>
      </c>
      <c r="D7" s="29">
        <f>IF(AND(0&lt;$C$7,$C$7&lt;=100),$C$7*D$6,0)+IF(AND($C$7&gt;100),100*D$6,0)</f>
        <v>0.5</v>
      </c>
      <c r="E7" s="29">
        <f>IF(AND(100&lt;$C$7,$C$7&lt;=1000),($C$7-100)*E$6,0)+IF(AND($C$7&gt;1000),900*E$6,0)</f>
        <v>2.25</v>
      </c>
      <c r="F7" s="29">
        <f>IF(AND(1000&lt;$C$7,$C$7&lt;=2000),($C$7-1000)*F$6,0)+IF(AND($C$7&gt;2000),1000*F$6,0)</f>
        <v>1.5</v>
      </c>
      <c r="G7" s="29">
        <f>IF(AND(2000&lt;$C$7,$C$7&lt;=5000),($C$7-2000)*G$6,"0")+IF(AND($C$7&gt;5000),3000*G$6,"0")</f>
        <v>2.4</v>
      </c>
      <c r="H7" s="31">
        <f>IF(AND(5000&lt;$C$7,$C$7&lt;=8000),($C$7-5000)*H$6,"0")+IF(AND($C$7&gt;8000),3000*H$6,"0")</f>
        <v>1.2</v>
      </c>
      <c r="I7" s="31">
        <f>IF(AND(8000&lt;$C$7,$C$7&lt;=10000),($C$7-8000)*I$6,"0")+IF(AND($C$7&gt;10000),2000*I$6,"0")</f>
        <v>0.4</v>
      </c>
      <c r="J7" s="31">
        <f>IF(AND(10000&lt;$C$7),($C$7-10000)*J$6,0)</f>
        <v>32</v>
      </c>
      <c r="K7" s="31"/>
    </row>
    <row r="8" ht="33.75" customHeight="1" spans="1:11">
      <c r="A8" s="15"/>
      <c r="B8" s="19" t="s">
        <v>35</v>
      </c>
      <c r="C8" s="20">
        <f>ROUND(SUM(D8:J8),2)</f>
        <v>40.25</v>
      </c>
      <c r="D8" s="29">
        <f>ROUND(IF(AND(0&lt;C7,C7&lt;=100),D7),2)</f>
        <v>0</v>
      </c>
      <c r="E8" s="29">
        <f>ROUND(IF(AND(100&lt;C7,C7&lt;=1000),100*D6+(C7-100)*E6,0),2)</f>
        <v>0</v>
      </c>
      <c r="F8" s="29">
        <f>ROUND(IF(AND(1001&lt;C7,C7&lt;=2000),D7+E7+F7,0),2)</f>
        <v>0</v>
      </c>
      <c r="G8" s="29">
        <f>ROUND(IF(AND(2001&lt;C7,C7&lt;=5000),D7+E7+F7+G7,0),2)</f>
        <v>0</v>
      </c>
      <c r="H8" s="31">
        <f>ROUND(IF(AND(5000&lt;C7,C7&lt;=8000),SUM(D7:H7),0),2)</f>
        <v>0</v>
      </c>
      <c r="I8" s="31">
        <f>ROUND(IF(AND(8000&lt;C7,C7&lt;=10000),SUM(D7:I7),0),2)</f>
        <v>0</v>
      </c>
      <c r="J8" s="31">
        <f>ROUND(IF(AND(10000&lt;C7),SUM(D7:J7),0),2)</f>
        <v>40.25</v>
      </c>
      <c r="K8" s="31"/>
    </row>
    <row r="9" s="4" customFormat="1" ht="77.25" customHeight="1" spans="1:11">
      <c r="A9" s="21" t="s">
        <v>48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7:7">
      <c r="G10" s="3">
        <f>G8*1.3</f>
        <v>0</v>
      </c>
    </row>
  </sheetData>
  <mergeCells count="10">
    <mergeCell ref="A1:J1"/>
    <mergeCell ref="A2:J2"/>
    <mergeCell ref="D3:J3"/>
    <mergeCell ref="D5:J5"/>
    <mergeCell ref="A9:K9"/>
    <mergeCell ref="A3:A5"/>
    <mergeCell ref="A6:A8"/>
    <mergeCell ref="B6:B7"/>
    <mergeCell ref="K3:K5"/>
    <mergeCell ref="B3:C4"/>
  </mergeCells>
  <printOptions horizontalCentered="1"/>
  <pageMargins left="0.75" right="0.75" top="0.979166666666667" bottom="0.979166666666667" header="0.509027777777778" footer="0.509027777777778"/>
  <pageSetup paperSize="9" fitToHeight="0" orientation="landscape" blackAndWhite="1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9"/>
  <sheetViews>
    <sheetView showZeros="0" workbookViewId="0">
      <selection activeCell="C7" sqref="C7"/>
    </sheetView>
  </sheetViews>
  <sheetFormatPr defaultColWidth="9.14285714285714" defaultRowHeight="17.6"/>
  <cols>
    <col min="1" max="1" width="8.5" style="3"/>
    <col min="2" max="2" width="17.125" style="3" customWidth="1"/>
    <col min="3" max="3" width="10.5" style="3"/>
    <col min="4" max="8" width="9.625" style="3" customWidth="1"/>
    <col min="9" max="10" width="10.75" style="3" customWidth="1"/>
    <col min="11" max="11" width="9.5" style="3"/>
    <col min="12" max="16384" width="9" style="3"/>
  </cols>
  <sheetData>
    <row r="1" s="1" customFormat="1" ht="46.5" customHeight="1" spans="1:11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="1" customFormat="1" ht="26.25" customHeight="1" spans="1:11">
      <c r="A2" s="37" t="s">
        <v>15</v>
      </c>
      <c r="B2" s="38"/>
      <c r="C2" s="38"/>
      <c r="D2" s="38"/>
      <c r="E2" s="38"/>
      <c r="F2" s="38"/>
      <c r="G2" s="38"/>
      <c r="H2" s="38"/>
      <c r="I2" s="38"/>
      <c r="J2" s="39"/>
      <c r="K2" s="36"/>
    </row>
    <row r="3" s="2" customFormat="1" ht="33.75" customHeight="1" spans="1:11">
      <c r="A3" s="9" t="s">
        <v>3</v>
      </c>
      <c r="B3" s="10" t="s">
        <v>19</v>
      </c>
      <c r="C3" s="10"/>
      <c r="D3" s="10" t="s">
        <v>50</v>
      </c>
      <c r="E3" s="10"/>
      <c r="F3" s="10"/>
      <c r="G3" s="10"/>
      <c r="H3" s="10"/>
      <c r="I3" s="10"/>
      <c r="J3" s="10"/>
      <c r="K3" s="9" t="s">
        <v>21</v>
      </c>
    </row>
    <row r="4" s="2" customFormat="1" ht="33.75" customHeight="1" spans="1:11">
      <c r="A4" s="11"/>
      <c r="B4" s="10"/>
      <c r="C4" s="10"/>
      <c r="D4" s="26" t="s">
        <v>22</v>
      </c>
      <c r="E4" s="26" t="s">
        <v>51</v>
      </c>
      <c r="F4" s="26" t="s">
        <v>52</v>
      </c>
      <c r="G4" s="26" t="s">
        <v>53</v>
      </c>
      <c r="H4" s="26" t="s">
        <v>43</v>
      </c>
      <c r="I4" s="26" t="s">
        <v>25</v>
      </c>
      <c r="J4" s="26" t="s">
        <v>46</v>
      </c>
      <c r="K4" s="11"/>
    </row>
    <row r="5" s="2" customFormat="1" ht="33.75" customHeight="1" spans="1:11">
      <c r="A5" s="12"/>
      <c r="B5" s="9" t="s">
        <v>28</v>
      </c>
      <c r="C5" s="27" t="s">
        <v>31</v>
      </c>
      <c r="D5" s="27" t="s">
        <v>32</v>
      </c>
      <c r="E5" s="28"/>
      <c r="F5" s="28"/>
      <c r="G5" s="28"/>
      <c r="H5" s="28"/>
      <c r="I5" s="28"/>
      <c r="J5" s="28"/>
      <c r="K5" s="12"/>
    </row>
    <row r="6" ht="33.75" customHeight="1" spans="1:11">
      <c r="A6" s="15" t="s">
        <v>14</v>
      </c>
      <c r="B6" s="16" t="s">
        <v>54</v>
      </c>
      <c r="C6" s="17">
        <f>C8/C7</f>
        <v>0.000119393939393939</v>
      </c>
      <c r="D6" s="54">
        <v>0.004</v>
      </c>
      <c r="E6" s="54">
        <v>0.003</v>
      </c>
      <c r="F6" s="54">
        <v>0.002</v>
      </c>
      <c r="G6" s="54">
        <v>0.0015</v>
      </c>
      <c r="H6" s="54">
        <v>0.0008</v>
      </c>
      <c r="I6" s="54">
        <v>0.0004</v>
      </c>
      <c r="J6" s="54">
        <v>0.0001</v>
      </c>
      <c r="K6" s="17"/>
    </row>
    <row r="7" ht="33.75" customHeight="1" spans="1:11">
      <c r="A7" s="15"/>
      <c r="B7" s="16"/>
      <c r="C7" s="18">
        <f>计费对比表!C2</f>
        <v>330000</v>
      </c>
      <c r="D7" s="29">
        <f>ROUND(IF(AND(0&lt;$C$7,$C$7&lt;=100),$C$7*D$6,0)+IF(AND($C$7&gt;100),100*D$6,0),2)</f>
        <v>0.4</v>
      </c>
      <c r="E7" s="29">
        <f>ROUND(IF(AND(100&lt;$C$7,$C$7&lt;=200),($C$7-100)*E$6,0)+IF(AND($C$7&gt;200),100*E$6,0),2)</f>
        <v>0.3</v>
      </c>
      <c r="F7" s="29">
        <f>ROUND(IF(AND(200&lt;$C$7,$C$7&lt;=1000),($C$7-200)*F$6,0)+IF(AND($C$7&gt;1000),800*F$6,0),2)</f>
        <v>1.6</v>
      </c>
      <c r="G7" s="29">
        <f>ROUND(IF(AND(1000&lt;$C$7,$C$7&lt;=2000),($C$7-1000)*G$6,0)+IF(AND($C$7&gt;2000),1000*G$6,0),2)</f>
        <v>1.5</v>
      </c>
      <c r="H7" s="29">
        <f>ROUND(ROUND(IF(AND(2000&lt;$C$7,$C$7&lt;=5000),($C$7-2000)*H$6,"0")+IF(AND($C$7&gt;5000),3000*H$6,"0"),2),2)</f>
        <v>2.4</v>
      </c>
      <c r="I7" s="31">
        <f>ROUND(IF(AND(5000&lt;$C$7,$C$7&lt;=8000),($C$7-5000)*I$6,"0")+IF(AND($C$7&gt;8000),3000*I$6,"0"),2)</f>
        <v>1.2</v>
      </c>
      <c r="J7" s="31">
        <f>ROUND(IF(AND(10000&lt;$C$7),($C$7-10000)*J$6,0),2)</f>
        <v>32</v>
      </c>
      <c r="K7" s="31"/>
    </row>
    <row r="8" ht="33.75" customHeight="1" spans="1:11">
      <c r="A8" s="15"/>
      <c r="B8" s="19" t="s">
        <v>35</v>
      </c>
      <c r="C8" s="20">
        <f>ROUND(SUM(D8:J8),2)</f>
        <v>39.4</v>
      </c>
      <c r="D8" s="29">
        <f>ROUND(IF(AND(0&lt;C7,C7&lt;=100),D7),2)</f>
        <v>0</v>
      </c>
      <c r="E8" s="29">
        <f>ROUND(IF(AND(100&lt;C7,C7&lt;=200),SUM(D7:E7),0),2)</f>
        <v>0</v>
      </c>
      <c r="F8" s="29">
        <f>ROUND(IF(AND(201&lt;C7,C7&lt;=1000),SUM(D7:F7),0),2)</f>
        <v>0</v>
      </c>
      <c r="G8" s="29">
        <f>ROUND(IF(AND(1001&lt;C7,C7&lt;=2000),SUM(D7:G7),0),2)</f>
        <v>0</v>
      </c>
      <c r="H8" s="29">
        <f>ROUND(IF(AND(2001&lt;C7,C7&lt;=5000),SUM(D7:H7),0),2)</f>
        <v>0</v>
      </c>
      <c r="I8" s="31">
        <f>ROUND(IF(AND(5000&lt;C7,C7&lt;=8000),SUM(D7:I7),0),2)</f>
        <v>0</v>
      </c>
      <c r="J8" s="31">
        <f>ROUND(IF(AND(10000&lt;C7),SUM(D7:J7),0),2)</f>
        <v>39.4</v>
      </c>
      <c r="K8" s="31"/>
    </row>
    <row r="9" s="4" customFormat="1" ht="77.25" customHeight="1" spans="1:11">
      <c r="A9" s="21" t="s">
        <v>48</v>
      </c>
      <c r="B9" s="21"/>
      <c r="C9" s="21"/>
      <c r="D9" s="21"/>
      <c r="E9" s="21"/>
      <c r="F9" s="21"/>
      <c r="G9" s="21"/>
      <c r="H9" s="21"/>
      <c r="I9" s="21"/>
      <c r="J9" s="21"/>
      <c r="K9" s="21"/>
    </row>
  </sheetData>
  <mergeCells count="10">
    <mergeCell ref="A1:J1"/>
    <mergeCell ref="A2:J2"/>
    <mergeCell ref="D3:J3"/>
    <mergeCell ref="D5:J5"/>
    <mergeCell ref="A9:K9"/>
    <mergeCell ref="A3:A5"/>
    <mergeCell ref="A6:A8"/>
    <mergeCell ref="B6:B7"/>
    <mergeCell ref="K3:K5"/>
    <mergeCell ref="B3:C4"/>
  </mergeCells>
  <printOptions horizontalCentered="1"/>
  <pageMargins left="0.75" right="0.75" top="0.979166666666667" bottom="0.979166666666667" header="0.509027777777778" footer="0.509027777777778"/>
  <pageSetup paperSize="9" fitToHeight="0" orientation="landscape" blackAndWhite="1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23"/>
  <sheetViews>
    <sheetView showZeros="0" workbookViewId="0">
      <selection activeCell="C11" sqref="C11"/>
    </sheetView>
  </sheetViews>
  <sheetFormatPr defaultColWidth="9.14285714285714" defaultRowHeight="17.6"/>
  <cols>
    <col min="1" max="1" width="4" style="3" customWidth="1"/>
    <col min="2" max="2" width="16.875" style="3" customWidth="1"/>
    <col min="3" max="3" width="9.5" style="3" customWidth="1"/>
    <col min="4" max="5" width="10.5" style="3" customWidth="1"/>
    <col min="6" max="6" width="9.625" style="3" customWidth="1"/>
    <col min="7" max="10" width="9.625" style="3"/>
    <col min="11" max="11" width="10.75" style="3"/>
    <col min="12" max="13" width="6.375" style="3" customWidth="1"/>
    <col min="14" max="15" width="8.07142857142857" style="3" customWidth="1"/>
    <col min="16" max="17" width="9" style="3" customWidth="1"/>
    <col min="18" max="18" width="8.375" style="3" customWidth="1"/>
    <col min="19" max="16384" width="9" style="3"/>
  </cols>
  <sheetData>
    <row r="1" s="1" customFormat="1" ht="46.5" customHeight="1" spans="1:18">
      <c r="A1" s="34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="1" customFormat="1" ht="46.5" customHeight="1" spans="1:18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="1" customFormat="1" ht="26.25" customHeight="1" spans="1:18">
      <c r="A3" s="37" t="s">
        <v>18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36"/>
    </row>
    <row r="4" s="2" customFormat="1" ht="33.75" customHeight="1" spans="1:18">
      <c r="A4" s="9" t="s">
        <v>3</v>
      </c>
      <c r="B4" s="40" t="s">
        <v>19</v>
      </c>
      <c r="C4" s="41"/>
      <c r="D4" s="41"/>
      <c r="E4" s="52"/>
      <c r="F4" s="10" t="s">
        <v>20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9" t="s">
        <v>21</v>
      </c>
    </row>
    <row r="5" s="2" customFormat="1" ht="33.75" customHeight="1" spans="1:18">
      <c r="A5" s="11"/>
      <c r="B5" s="13"/>
      <c r="C5" s="42"/>
      <c r="D5" s="42"/>
      <c r="E5" s="14"/>
      <c r="F5" s="26" t="s">
        <v>22</v>
      </c>
      <c r="G5" s="26"/>
      <c r="H5" s="26" t="s">
        <v>23</v>
      </c>
      <c r="I5" s="26"/>
      <c r="J5" s="26" t="s">
        <v>24</v>
      </c>
      <c r="K5" s="26"/>
      <c r="L5" s="26" t="s">
        <v>25</v>
      </c>
      <c r="M5" s="26"/>
      <c r="N5" s="26" t="s">
        <v>26</v>
      </c>
      <c r="O5" s="26"/>
      <c r="P5" s="26" t="s">
        <v>27</v>
      </c>
      <c r="Q5" s="26"/>
      <c r="R5" s="11"/>
    </row>
    <row r="6" s="2" customFormat="1" ht="33.75" customHeight="1" spans="1:18">
      <c r="A6" s="11"/>
      <c r="B6" s="9" t="s">
        <v>28</v>
      </c>
      <c r="C6" s="10" t="s">
        <v>29</v>
      </c>
      <c r="D6" s="10" t="s">
        <v>30</v>
      </c>
      <c r="E6" s="10" t="s">
        <v>56</v>
      </c>
      <c r="F6" s="10" t="s">
        <v>29</v>
      </c>
      <c r="G6" s="10" t="s">
        <v>30</v>
      </c>
      <c r="H6" s="10" t="s">
        <v>29</v>
      </c>
      <c r="I6" s="10" t="s">
        <v>30</v>
      </c>
      <c r="J6" s="10" t="s">
        <v>29</v>
      </c>
      <c r="K6" s="10" t="s">
        <v>30</v>
      </c>
      <c r="L6" s="10" t="s">
        <v>29</v>
      </c>
      <c r="M6" s="10" t="s">
        <v>30</v>
      </c>
      <c r="N6" s="10" t="s">
        <v>29</v>
      </c>
      <c r="O6" s="10" t="s">
        <v>30</v>
      </c>
      <c r="P6" s="10" t="s">
        <v>29</v>
      </c>
      <c r="Q6" s="10" t="s">
        <v>30</v>
      </c>
      <c r="R6" s="11"/>
    </row>
    <row r="7" s="2" customFormat="1" ht="33.75" hidden="1" customHeight="1" spans="1:18">
      <c r="A7" s="12"/>
      <c r="B7" s="12"/>
      <c r="C7" s="13" t="s">
        <v>31</v>
      </c>
      <c r="D7" s="14"/>
      <c r="E7" s="14"/>
      <c r="F7" s="10" t="s">
        <v>32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"/>
    </row>
    <row r="8" s="2" customFormat="1" ht="33.75" customHeight="1" spans="1:18">
      <c r="A8" s="43" t="s">
        <v>33</v>
      </c>
      <c r="B8" s="16" t="s">
        <v>57</v>
      </c>
      <c r="C8" s="10" t="s">
        <v>58</v>
      </c>
      <c r="D8" s="10" t="s">
        <v>59</v>
      </c>
      <c r="E8" s="10" t="s">
        <v>60</v>
      </c>
      <c r="F8" s="10" t="s">
        <v>58</v>
      </c>
      <c r="G8" s="10" t="s">
        <v>59</v>
      </c>
      <c r="H8" s="10" t="s">
        <v>58</v>
      </c>
      <c r="I8" s="10" t="s">
        <v>59</v>
      </c>
      <c r="J8" s="10" t="s">
        <v>58</v>
      </c>
      <c r="K8" s="10" t="s">
        <v>59</v>
      </c>
      <c r="L8" s="10" t="s">
        <v>58</v>
      </c>
      <c r="M8" s="10" t="s">
        <v>59</v>
      </c>
      <c r="N8" s="10" t="s">
        <v>58</v>
      </c>
      <c r="O8" s="10" t="s">
        <v>59</v>
      </c>
      <c r="P8" s="10" t="s">
        <v>58</v>
      </c>
      <c r="Q8" s="10" t="s">
        <v>59</v>
      </c>
      <c r="R8" s="12"/>
    </row>
    <row r="9" ht="33.75" customHeight="1" spans="1:18">
      <c r="A9" s="44"/>
      <c r="B9" s="16"/>
      <c r="C9" s="17">
        <f>C11/C10</f>
        <v>0.000149484848484848</v>
      </c>
      <c r="D9" s="17">
        <f>D11/C10</f>
        <v>0.000272363636363636</v>
      </c>
      <c r="E9" s="17">
        <f>E11/C10</f>
        <v>0.000210924242424242</v>
      </c>
      <c r="F9" s="17">
        <v>0.009</v>
      </c>
      <c r="G9" s="17">
        <v>0.015</v>
      </c>
      <c r="H9" s="17">
        <v>0.00375</v>
      </c>
      <c r="I9" s="17">
        <v>0.00625</v>
      </c>
      <c r="J9" s="17">
        <v>0.0012</v>
      </c>
      <c r="K9" s="17">
        <v>0.002</v>
      </c>
      <c r="L9" s="17">
        <v>0.00075</v>
      </c>
      <c r="M9" s="17">
        <v>0.00125</v>
      </c>
      <c r="N9" s="17">
        <v>0.00015</v>
      </c>
      <c r="O9" s="17">
        <v>0.00025</v>
      </c>
      <c r="P9" s="17">
        <v>0.0001</v>
      </c>
      <c r="Q9" s="17">
        <v>0.0002</v>
      </c>
      <c r="R9" s="17"/>
    </row>
    <row r="10" ht="33.75" customHeight="1" spans="1:18">
      <c r="A10" s="44"/>
      <c r="B10" s="45" t="s">
        <v>61</v>
      </c>
      <c r="C10" s="46">
        <f>计费对比表!C2</f>
        <v>330000</v>
      </c>
      <c r="D10" s="47"/>
      <c r="E10" s="53"/>
      <c r="F10" s="29">
        <f>IF(AND(0&lt;$C$10,$C$10&lt;=100),$C$10*F$9,0)+IF(AND($C$10&gt;100),100*F$9,0)</f>
        <v>0.9</v>
      </c>
      <c r="G10" s="29">
        <f>IF(AND(0&lt;$C$10,$C$10&lt;=100),$C$10*G$9,0)+IF(AND($C$10&gt;100),100*G$9,0)</f>
        <v>1.5</v>
      </c>
      <c r="H10" s="29">
        <f>IF(AND(100&lt;$C$10,$C$10&lt;=1000),($C$10-100)*H$9,0)+IF(AND($C$10&gt;1000),900*H$9,0)</f>
        <v>3.375</v>
      </c>
      <c r="I10" s="29">
        <f>IF(AND(100&lt;$C$10,$C$10&lt;=1000),($C$10-100)*I$9,0)+IF(AND($C$10&gt;1000),900*I$9,0)</f>
        <v>5.625</v>
      </c>
      <c r="J10" s="29">
        <f>IF(AND(1000&lt;$C$10,$C$10&lt;=5000),($C$10-1000)*J$9,"0")+IF(AND($C$10&gt;5000),4000*J$9,"0")</f>
        <v>4.8</v>
      </c>
      <c r="K10" s="29">
        <f>IF(AND(1000&lt;$C$10,$C$10&lt;=5000),($C$10-1000)*K$9,"0")+IF(AND($C$10&gt;5000),4000*K$9,"0")</f>
        <v>8</v>
      </c>
      <c r="L10" s="31">
        <f>IF(AND(5000&lt;$C$10,$C$10&lt;=10000),($C$10-5000)*L$9,"0")+IF(AND($C$10&gt;10000),5000*L$9,"0")</f>
        <v>3.75</v>
      </c>
      <c r="M10" s="31">
        <f>IF(AND(5000&lt;$C$10,$C$10&lt;=10000),($C$10-5000)*M$9,"0")+IF(AND($C$10&gt;10000),5000*M$9,"0")</f>
        <v>6.25</v>
      </c>
      <c r="N10" s="31">
        <f>IF(AND(10000&lt;$C$10,$C$10&lt;=100000),($C$10-10000)*N$9,"0")+IF(AND($C$10&gt;100000),90000*N$9,"0")</f>
        <v>13.5</v>
      </c>
      <c r="O10" s="31">
        <f>IF(AND(10000&lt;$C$10,$C$10&lt;=100000),($C$10-10000)*O$9,"0")+IF(AND($C$10&gt;100000),90000*O$9,"0")</f>
        <v>22.5</v>
      </c>
      <c r="P10" s="31">
        <f>IF(AND(100000&lt;$C$10),($C$10-100000)*P$9,0)</f>
        <v>23</v>
      </c>
      <c r="Q10" s="31">
        <f>IF(AND($C$10&gt;100000),($C$10-100000)*Q$9,0)</f>
        <v>46</v>
      </c>
      <c r="R10" s="31"/>
    </row>
    <row r="11" ht="33.75" customHeight="1" spans="1:18">
      <c r="A11" s="48"/>
      <c r="B11" s="19" t="s">
        <v>35</v>
      </c>
      <c r="C11" s="20">
        <f>ROUND(SUM(F10,H10,J10,L10,N10,P10),2)</f>
        <v>49.33</v>
      </c>
      <c r="D11" s="20">
        <f>ROUND(SUM(G10,I10,K10,M10,O10,Q10),2)</f>
        <v>89.88</v>
      </c>
      <c r="E11" s="20">
        <f>(C11+D11)/2</f>
        <v>69.605</v>
      </c>
      <c r="F11" s="29">
        <f>ROUND(IF(AND(0&lt;C10,C10&lt;=100),F10),2)</f>
        <v>0</v>
      </c>
      <c r="G11" s="29">
        <f>ROUND(IF(AND(0&lt;C10,C10&lt;=100),G10),2)</f>
        <v>0</v>
      </c>
      <c r="H11" s="29">
        <f>ROUND(IF(AND(100&lt;C10,C10&lt;=1000),100*F9+(C10-100)*H9,0),2)</f>
        <v>0</v>
      </c>
      <c r="I11" s="29">
        <f>ROUND(IF(AND(100&lt;C10,C10&lt;=1000),100*G9+(C10-100)*I9,0),2)</f>
        <v>0</v>
      </c>
      <c r="J11" s="29">
        <f>ROUND(IF(AND(1000&lt;C10,C10&lt;=5000),100*F9+900*H9+(C10-1000)*J9,0),2)</f>
        <v>0</v>
      </c>
      <c r="K11" s="29">
        <f>ROUND(IF(AND(1000&lt;C10,C10&lt;=5000),100*G9+900*I9+(C10-1000)*K9,0),2)</f>
        <v>0</v>
      </c>
      <c r="L11" s="31">
        <f>ROUND(IF(AND(5000&lt;C10,C10&lt;=10000),100*F9+900*H9+4000*J9+(C10-5000)*L9,0),2)</f>
        <v>0</v>
      </c>
      <c r="M11" s="31">
        <f>ROUND(IF(AND(5000&lt;C10,C10&lt;=10000),100*G9+900*I9+4000*K9+(C10-5000)*M9,0),2)</f>
        <v>0</v>
      </c>
      <c r="N11" s="31">
        <f>ROUND(IF(AND(10000&lt;C10,C10&lt;=100000),100*F9+900*H9+4000*J9+5000*L9+(C10-10000)*N9,0),2)</f>
        <v>0</v>
      </c>
      <c r="O11" s="31">
        <f>ROUND(IF(AND(10000&lt;C10,C10&lt;=100000),100*G9+900*I9+4000*K9+5000*M9+(C10-10000)*O9,0),2)</f>
        <v>0</v>
      </c>
      <c r="P11" s="31">
        <f>ROUND(IF(AND(100000&lt;C10),100*F9+900*H9+4000*J9+5000*L9+90000*N9+(C10-100000)*P9,0),2)</f>
        <v>49.33</v>
      </c>
      <c r="Q11" s="31">
        <f>ROUND(IF(AND(100000&lt;C10),100*G9+900*I9+4000*K9+5000*M9+90000*O9+(C10-100000)*Q9,0),2)</f>
        <v>89.88</v>
      </c>
      <c r="R11" s="31"/>
    </row>
    <row r="12" s="4" customFormat="1" ht="77.25" customHeight="1" spans="1:18">
      <c r="A12" s="21" t="s">
        <v>36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="4" customFormat="1" ht="18" hidden="1" customHeight="1" spans="1:17">
      <c r="A13" s="49" t="s">
        <v>37</v>
      </c>
      <c r="B13" s="22" t="s">
        <v>38</v>
      </c>
      <c r="C13" s="10" t="s">
        <v>29</v>
      </c>
      <c r="D13" s="10" t="s">
        <v>30</v>
      </c>
      <c r="E13" s="10"/>
      <c r="F13" s="22" t="s">
        <v>38</v>
      </c>
      <c r="G13" s="10" t="s">
        <v>29</v>
      </c>
      <c r="H13" s="10" t="s">
        <v>30</v>
      </c>
      <c r="I13" s="22" t="s">
        <v>38</v>
      </c>
      <c r="J13" s="10" t="s">
        <v>29</v>
      </c>
      <c r="K13" s="10" t="s">
        <v>30</v>
      </c>
      <c r="L13" s="22" t="s">
        <v>38</v>
      </c>
      <c r="M13" s="10" t="s">
        <v>29</v>
      </c>
      <c r="N13" s="10" t="s">
        <v>30</v>
      </c>
      <c r="O13" s="22" t="s">
        <v>38</v>
      </c>
      <c r="P13" s="10" t="s">
        <v>29</v>
      </c>
      <c r="Q13" s="10" t="s">
        <v>30</v>
      </c>
    </row>
    <row r="14" s="4" customFormat="1" ht="18" hidden="1" customHeight="1" spans="1:17">
      <c r="A14" s="50"/>
      <c r="B14" s="23">
        <v>100</v>
      </c>
      <c r="C14" s="24">
        <f>ROUND(IF(AND(0&lt;$C$10,$C$10&lt;=100),$C$10*F$9,0)+IF(AND($C$10&gt;100),100*F$9,0),2)</f>
        <v>0.9</v>
      </c>
      <c r="D14" s="24">
        <f>ROUND(IF(AND(0&lt;$C$10,$C$10&lt;=100),$C$10*G$9,0)+IF(AND($C$10&gt;100),100*G$9,0),2)</f>
        <v>1.5</v>
      </c>
      <c r="E14" s="24"/>
      <c r="F14" s="23">
        <v>1400</v>
      </c>
      <c r="G14" s="30">
        <f t="shared" ref="G14:G23" si="0">ROUND(IF(AND(1000&lt;F14,F14&lt;=5000),$C$23+(F14-1000)*$J$9,"0"),2)</f>
        <v>4.76</v>
      </c>
      <c r="H14" s="30">
        <f t="shared" ref="H14:H23" si="1">ROUND(IF(AND(1000&lt;F14,F14&lt;=5000),$D$23+(F14-1000)*$K$9,"0"),2)</f>
        <v>7.93</v>
      </c>
      <c r="I14" s="23">
        <v>5250</v>
      </c>
      <c r="J14" s="30">
        <f t="shared" ref="J14:J23" si="2">ROUND(IF(AND(5000&lt;I14,I14&lt;=10000),$G$23+(I14-5000)*$L$9,"0"),2)</f>
        <v>9.27</v>
      </c>
      <c r="K14" s="30">
        <f t="shared" ref="K14:K23" si="3">ROUND(IF(AND(5000&lt;I14,I14&lt;=10000),$H$23+(I14-5000)*$M$9,"0"),2)</f>
        <v>15.44</v>
      </c>
      <c r="L14" s="23">
        <v>7750</v>
      </c>
      <c r="M14" s="30">
        <f t="shared" ref="M14:M23" si="4">ROUND(IF(AND(5000&lt;L14,L14&lt;=10000),$G$23+(L14-5000)*$L$9,"0"),2)</f>
        <v>11.14</v>
      </c>
      <c r="N14" s="30">
        <f t="shared" ref="N14:N23" si="5">ROUND(IF(AND(5000&lt;L14,L14&lt;=10000),$H$23+(L14-5000)*$M$9,"0"),2)</f>
        <v>18.57</v>
      </c>
      <c r="O14" s="23">
        <v>11000</v>
      </c>
      <c r="P14" s="30">
        <f t="shared" ref="P14:P23" si="6">ROUND(IF(AND(10000&lt;O14,O14&lt;=100000),$M$23+(O14-10000)*$N$9,"0"),2)</f>
        <v>12.98</v>
      </c>
      <c r="Q14" s="30">
        <f t="shared" ref="Q14:Q23" si="7">ROUND(IF(AND(10000&lt;O14,O14&lt;=100000),$N$23+(O14-10000)*$O$9,"0"),2)</f>
        <v>21.63</v>
      </c>
    </row>
    <row r="15" s="4" customFormat="1" ht="18" hidden="1" customHeight="1" spans="1:17">
      <c r="A15" s="50"/>
      <c r="B15" s="23">
        <v>200</v>
      </c>
      <c r="C15" s="24">
        <f t="shared" ref="C15:C23" si="8">ROUND(IF(AND(100&lt;B15,B15&lt;=1000),$C$14+(B15-100)*$H$9,0),2)</f>
        <v>1.28</v>
      </c>
      <c r="D15" s="24">
        <f t="shared" ref="D15:D23" si="9">ROUND(IF(AND(100&lt;B15,B15&lt;=1000),$D$14+(B15-100)*$I$9,0),2)</f>
        <v>2.13</v>
      </c>
      <c r="E15" s="24"/>
      <c r="F15" s="23">
        <v>1800</v>
      </c>
      <c r="G15" s="30">
        <f t="shared" si="0"/>
        <v>5.24</v>
      </c>
      <c r="H15" s="30">
        <f t="shared" si="1"/>
        <v>8.73</v>
      </c>
      <c r="I15" s="23">
        <v>5500</v>
      </c>
      <c r="J15" s="30">
        <f t="shared" si="2"/>
        <v>9.46</v>
      </c>
      <c r="K15" s="30">
        <f t="shared" si="3"/>
        <v>15.76</v>
      </c>
      <c r="L15" s="23">
        <v>8000</v>
      </c>
      <c r="M15" s="30">
        <f t="shared" si="4"/>
        <v>11.33</v>
      </c>
      <c r="N15" s="30">
        <f t="shared" si="5"/>
        <v>18.88</v>
      </c>
      <c r="O15" s="23">
        <v>12000</v>
      </c>
      <c r="P15" s="30">
        <f t="shared" si="6"/>
        <v>13.13</v>
      </c>
      <c r="Q15" s="30">
        <f t="shared" si="7"/>
        <v>21.88</v>
      </c>
    </row>
    <row r="16" s="4" customFormat="1" ht="18" hidden="1" customHeight="1" spans="1:17">
      <c r="A16" s="50"/>
      <c r="B16" s="23">
        <v>300</v>
      </c>
      <c r="C16" s="24">
        <f t="shared" si="8"/>
        <v>1.65</v>
      </c>
      <c r="D16" s="24">
        <f t="shared" si="9"/>
        <v>2.75</v>
      </c>
      <c r="E16" s="24"/>
      <c r="F16" s="23">
        <v>2200</v>
      </c>
      <c r="G16" s="30">
        <f t="shared" si="0"/>
        <v>5.72</v>
      </c>
      <c r="H16" s="30">
        <f t="shared" si="1"/>
        <v>9.53</v>
      </c>
      <c r="I16" s="23">
        <v>5750</v>
      </c>
      <c r="J16" s="30">
        <f t="shared" si="2"/>
        <v>9.64</v>
      </c>
      <c r="K16" s="30">
        <f t="shared" si="3"/>
        <v>16.07</v>
      </c>
      <c r="L16" s="23">
        <v>8250</v>
      </c>
      <c r="M16" s="30">
        <f t="shared" si="4"/>
        <v>11.52</v>
      </c>
      <c r="N16" s="30">
        <f t="shared" si="5"/>
        <v>19.19</v>
      </c>
      <c r="O16" s="23">
        <v>15000</v>
      </c>
      <c r="P16" s="30">
        <f t="shared" si="6"/>
        <v>13.58</v>
      </c>
      <c r="Q16" s="30">
        <f t="shared" si="7"/>
        <v>22.63</v>
      </c>
    </row>
    <row r="17" s="4" customFormat="1" ht="18" hidden="1" customHeight="1" spans="1:17">
      <c r="A17" s="50"/>
      <c r="B17" s="23">
        <v>400</v>
      </c>
      <c r="C17" s="24">
        <f t="shared" si="8"/>
        <v>2.03</v>
      </c>
      <c r="D17" s="24">
        <f t="shared" si="9"/>
        <v>3.38</v>
      </c>
      <c r="E17" s="24"/>
      <c r="F17" s="23">
        <v>2600</v>
      </c>
      <c r="G17" s="30">
        <f t="shared" si="0"/>
        <v>6.2</v>
      </c>
      <c r="H17" s="30">
        <f t="shared" si="1"/>
        <v>10.33</v>
      </c>
      <c r="I17" s="23">
        <v>6000</v>
      </c>
      <c r="J17" s="30">
        <f t="shared" si="2"/>
        <v>9.83</v>
      </c>
      <c r="K17" s="30">
        <f t="shared" si="3"/>
        <v>16.38</v>
      </c>
      <c r="L17" s="23">
        <v>8500</v>
      </c>
      <c r="M17" s="30">
        <f t="shared" si="4"/>
        <v>11.71</v>
      </c>
      <c r="N17" s="30">
        <f t="shared" si="5"/>
        <v>19.51</v>
      </c>
      <c r="O17" s="23">
        <v>20000</v>
      </c>
      <c r="P17" s="30">
        <f t="shared" si="6"/>
        <v>14.33</v>
      </c>
      <c r="Q17" s="30">
        <f t="shared" si="7"/>
        <v>23.88</v>
      </c>
    </row>
    <row r="18" s="4" customFormat="1" ht="18" hidden="1" customHeight="1" spans="1:17">
      <c r="A18" s="50"/>
      <c r="B18" s="23">
        <v>500</v>
      </c>
      <c r="C18" s="24">
        <f t="shared" si="8"/>
        <v>2.4</v>
      </c>
      <c r="D18" s="24">
        <f t="shared" si="9"/>
        <v>4</v>
      </c>
      <c r="E18" s="24"/>
      <c r="F18" s="23">
        <v>3000</v>
      </c>
      <c r="G18" s="30">
        <f t="shared" si="0"/>
        <v>6.68</v>
      </c>
      <c r="H18" s="30">
        <f t="shared" si="1"/>
        <v>11.13</v>
      </c>
      <c r="I18" s="23">
        <v>6250</v>
      </c>
      <c r="J18" s="30">
        <f t="shared" si="2"/>
        <v>10.02</v>
      </c>
      <c r="K18" s="30">
        <f t="shared" si="3"/>
        <v>16.69</v>
      </c>
      <c r="L18" s="23">
        <v>8750</v>
      </c>
      <c r="M18" s="30">
        <f t="shared" si="4"/>
        <v>11.89</v>
      </c>
      <c r="N18" s="30">
        <f t="shared" si="5"/>
        <v>19.82</v>
      </c>
      <c r="O18" s="23">
        <v>30000</v>
      </c>
      <c r="P18" s="30">
        <f t="shared" si="6"/>
        <v>15.83</v>
      </c>
      <c r="Q18" s="30">
        <f t="shared" si="7"/>
        <v>26.38</v>
      </c>
    </row>
    <row r="19" s="4" customFormat="1" ht="18" hidden="1" customHeight="1" spans="1:17">
      <c r="A19" s="50"/>
      <c r="B19" s="23">
        <v>600</v>
      </c>
      <c r="C19" s="24">
        <f t="shared" si="8"/>
        <v>2.78</v>
      </c>
      <c r="D19" s="24">
        <f t="shared" si="9"/>
        <v>4.63</v>
      </c>
      <c r="E19" s="24"/>
      <c r="F19" s="23">
        <v>3400</v>
      </c>
      <c r="G19" s="30">
        <f t="shared" si="0"/>
        <v>7.16</v>
      </c>
      <c r="H19" s="30">
        <f t="shared" si="1"/>
        <v>11.93</v>
      </c>
      <c r="I19" s="23">
        <v>6500</v>
      </c>
      <c r="J19" s="30">
        <f t="shared" si="2"/>
        <v>10.21</v>
      </c>
      <c r="K19" s="30">
        <f t="shared" si="3"/>
        <v>17.01</v>
      </c>
      <c r="L19" s="23">
        <v>9000</v>
      </c>
      <c r="M19" s="30">
        <f t="shared" si="4"/>
        <v>12.08</v>
      </c>
      <c r="N19" s="30">
        <f t="shared" si="5"/>
        <v>20.13</v>
      </c>
      <c r="O19" s="23">
        <v>40000</v>
      </c>
      <c r="P19" s="30">
        <f t="shared" si="6"/>
        <v>17.33</v>
      </c>
      <c r="Q19" s="30">
        <f t="shared" si="7"/>
        <v>28.88</v>
      </c>
    </row>
    <row r="20" s="4" customFormat="1" ht="18" hidden="1" customHeight="1" spans="1:17">
      <c r="A20" s="50"/>
      <c r="B20" s="23">
        <v>700</v>
      </c>
      <c r="C20" s="24">
        <f t="shared" si="8"/>
        <v>3.15</v>
      </c>
      <c r="D20" s="24">
        <f t="shared" si="9"/>
        <v>5.25</v>
      </c>
      <c r="E20" s="24"/>
      <c r="F20" s="23">
        <v>3800</v>
      </c>
      <c r="G20" s="30">
        <f t="shared" si="0"/>
        <v>7.64</v>
      </c>
      <c r="H20" s="30">
        <f t="shared" si="1"/>
        <v>12.73</v>
      </c>
      <c r="I20" s="23">
        <v>6750</v>
      </c>
      <c r="J20" s="30">
        <f t="shared" si="2"/>
        <v>10.39</v>
      </c>
      <c r="K20" s="30">
        <f t="shared" si="3"/>
        <v>17.32</v>
      </c>
      <c r="L20" s="23">
        <v>9250</v>
      </c>
      <c r="M20" s="30">
        <f t="shared" si="4"/>
        <v>12.27</v>
      </c>
      <c r="N20" s="30">
        <f t="shared" si="5"/>
        <v>20.44</v>
      </c>
      <c r="O20" s="23">
        <v>50000</v>
      </c>
      <c r="P20" s="30">
        <f t="shared" si="6"/>
        <v>18.83</v>
      </c>
      <c r="Q20" s="30">
        <f t="shared" si="7"/>
        <v>31.38</v>
      </c>
    </row>
    <row r="21" s="4" customFormat="1" ht="18" hidden="1" customHeight="1" spans="1:17">
      <c r="A21" s="50"/>
      <c r="B21" s="23">
        <v>800</v>
      </c>
      <c r="C21" s="24">
        <f t="shared" si="8"/>
        <v>3.53</v>
      </c>
      <c r="D21" s="24">
        <f t="shared" si="9"/>
        <v>5.88</v>
      </c>
      <c r="E21" s="24"/>
      <c r="F21" s="23">
        <v>4200</v>
      </c>
      <c r="G21" s="30">
        <f t="shared" si="0"/>
        <v>8.12</v>
      </c>
      <c r="H21" s="30">
        <f t="shared" si="1"/>
        <v>13.53</v>
      </c>
      <c r="I21" s="23">
        <v>7000</v>
      </c>
      <c r="J21" s="30">
        <f t="shared" si="2"/>
        <v>10.58</v>
      </c>
      <c r="K21" s="30">
        <f t="shared" si="3"/>
        <v>17.63</v>
      </c>
      <c r="L21" s="23">
        <v>9500</v>
      </c>
      <c r="M21" s="30">
        <f t="shared" si="4"/>
        <v>12.46</v>
      </c>
      <c r="N21" s="30">
        <f t="shared" si="5"/>
        <v>20.76</v>
      </c>
      <c r="O21" s="23">
        <v>65000</v>
      </c>
      <c r="P21" s="30">
        <f t="shared" si="6"/>
        <v>21.08</v>
      </c>
      <c r="Q21" s="30">
        <f t="shared" si="7"/>
        <v>35.13</v>
      </c>
    </row>
    <row r="22" s="4" customFormat="1" ht="18" hidden="1" customHeight="1" spans="1:17">
      <c r="A22" s="50"/>
      <c r="B22" s="23">
        <v>900</v>
      </c>
      <c r="C22" s="24">
        <f t="shared" si="8"/>
        <v>3.9</v>
      </c>
      <c r="D22" s="24">
        <f t="shared" si="9"/>
        <v>6.5</v>
      </c>
      <c r="E22" s="24"/>
      <c r="F22" s="23">
        <v>4600</v>
      </c>
      <c r="G22" s="30">
        <f t="shared" si="0"/>
        <v>8.6</v>
      </c>
      <c r="H22" s="30">
        <f t="shared" si="1"/>
        <v>14.33</v>
      </c>
      <c r="I22" s="23">
        <v>7250</v>
      </c>
      <c r="J22" s="30">
        <f t="shared" si="2"/>
        <v>10.77</v>
      </c>
      <c r="K22" s="30">
        <f t="shared" si="3"/>
        <v>17.94</v>
      </c>
      <c r="L22" s="23">
        <v>9750</v>
      </c>
      <c r="M22" s="30">
        <f t="shared" si="4"/>
        <v>12.64</v>
      </c>
      <c r="N22" s="30">
        <f t="shared" si="5"/>
        <v>21.07</v>
      </c>
      <c r="O22" s="23">
        <v>80000</v>
      </c>
      <c r="P22" s="30">
        <f t="shared" si="6"/>
        <v>23.33</v>
      </c>
      <c r="Q22" s="30">
        <f t="shared" si="7"/>
        <v>38.88</v>
      </c>
    </row>
    <row r="23" s="4" customFormat="1" ht="18" hidden="1" customHeight="1" spans="1:17">
      <c r="A23" s="51"/>
      <c r="B23" s="23">
        <v>1000</v>
      </c>
      <c r="C23" s="24">
        <f t="shared" si="8"/>
        <v>4.28</v>
      </c>
      <c r="D23" s="24">
        <f t="shared" si="9"/>
        <v>7.13</v>
      </c>
      <c r="E23" s="24"/>
      <c r="F23" s="23">
        <v>5000</v>
      </c>
      <c r="G23" s="30">
        <f t="shared" si="0"/>
        <v>9.08</v>
      </c>
      <c r="H23" s="30">
        <f t="shared" si="1"/>
        <v>15.13</v>
      </c>
      <c r="I23" s="23">
        <v>7500</v>
      </c>
      <c r="J23" s="30">
        <f t="shared" si="2"/>
        <v>10.96</v>
      </c>
      <c r="K23" s="30">
        <f t="shared" si="3"/>
        <v>18.26</v>
      </c>
      <c r="L23" s="23">
        <v>10000</v>
      </c>
      <c r="M23" s="30">
        <f t="shared" si="4"/>
        <v>12.83</v>
      </c>
      <c r="N23" s="30">
        <f t="shared" si="5"/>
        <v>21.38</v>
      </c>
      <c r="O23" s="23">
        <v>100000</v>
      </c>
      <c r="P23" s="30">
        <f t="shared" si="6"/>
        <v>26.33</v>
      </c>
      <c r="Q23" s="30">
        <f t="shared" si="7"/>
        <v>43.88</v>
      </c>
    </row>
  </sheetData>
  <mergeCells count="21">
    <mergeCell ref="A1:Q1"/>
    <mergeCell ref="A2:Q2"/>
    <mergeCell ref="A3:Q3"/>
    <mergeCell ref="F4:Q4"/>
    <mergeCell ref="F5:G5"/>
    <mergeCell ref="H5:I5"/>
    <mergeCell ref="J5:K5"/>
    <mergeCell ref="L5:M5"/>
    <mergeCell ref="N5:O5"/>
    <mergeCell ref="P5:Q5"/>
    <mergeCell ref="C7:D7"/>
    <mergeCell ref="F7:Q7"/>
    <mergeCell ref="C10:E10"/>
    <mergeCell ref="A12:R12"/>
    <mergeCell ref="A4:A7"/>
    <mergeCell ref="A8:A11"/>
    <mergeCell ref="A13:A23"/>
    <mergeCell ref="B6:B7"/>
    <mergeCell ref="B8:B9"/>
    <mergeCell ref="R4:R7"/>
    <mergeCell ref="B4:E5"/>
  </mergeCells>
  <printOptions horizontalCentered="1"/>
  <pageMargins left="0.75" right="0.75" top="0.979166666666667" bottom="0.979166666666667" header="0.509027777777778" footer="0.509027777777778"/>
  <pageSetup paperSize="9" scale="77" fitToHeight="0" orientation="landscape" blackAndWhite="1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23"/>
  <sheetViews>
    <sheetView showZeros="0" tabSelected="1" workbookViewId="0">
      <selection activeCell="A1" sqref="$A1:$XFD65536"/>
    </sheetView>
  </sheetViews>
  <sheetFormatPr defaultColWidth="9.14285714285714" defaultRowHeight="17.6"/>
  <cols>
    <col min="1" max="1" width="3.625" style="3" customWidth="1"/>
    <col min="2" max="2" width="16.25" style="3" customWidth="1"/>
    <col min="3" max="3" width="12.625" style="3" customWidth="1"/>
    <col min="4" max="4" width="10.75" style="3" hidden="1" customWidth="1"/>
    <col min="5" max="5" width="12.625" style="3" customWidth="1"/>
    <col min="6" max="6" width="9.625" style="3" hidden="1" customWidth="1"/>
    <col min="7" max="7" width="12.625" style="3" customWidth="1"/>
    <col min="8" max="8" width="9.625" style="3" hidden="1" customWidth="1"/>
    <col min="9" max="9" width="12.625" style="3" customWidth="1"/>
    <col min="10" max="10" width="16.125" style="3" hidden="1" customWidth="1"/>
    <col min="11" max="11" width="12.625" style="3" customWidth="1"/>
    <col min="12" max="12" width="10.75" style="3" hidden="1" customWidth="1"/>
    <col min="13" max="13" width="12.625" style="3" customWidth="1"/>
    <col min="14" max="14" width="10.75" style="3" hidden="1" customWidth="1"/>
    <col min="15" max="15" width="12.625" style="3" customWidth="1"/>
    <col min="16" max="16" width="10.75" style="3" hidden="1" customWidth="1"/>
    <col min="17" max="17" width="9.5" style="3"/>
    <col min="18" max="16384" width="9" style="3"/>
  </cols>
  <sheetData>
    <row r="1" s="1" customFormat="1" ht="46.5" customHeight="1" spans="1:17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="1" customFormat="1" ht="46.5" customHeight="1" spans="1:17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="1" customFormat="1" ht="26.25" customHeight="1" spans="1:17">
      <c r="A3" s="37" t="s">
        <v>18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36"/>
    </row>
    <row r="4" s="2" customFormat="1" ht="33.75" customHeight="1" spans="1:17">
      <c r="A4" s="9" t="s">
        <v>3</v>
      </c>
      <c r="B4" s="10" t="s">
        <v>19</v>
      </c>
      <c r="C4" s="10"/>
      <c r="D4" s="10"/>
      <c r="E4" s="10" t="s">
        <v>20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9" t="s">
        <v>21</v>
      </c>
    </row>
    <row r="5" s="2" customFormat="1" ht="33.75" customHeight="1" spans="1:17">
      <c r="A5" s="11"/>
      <c r="B5" s="10"/>
      <c r="C5" s="10"/>
      <c r="D5" s="10"/>
      <c r="E5" s="26" t="s">
        <v>22</v>
      </c>
      <c r="F5" s="26"/>
      <c r="G5" s="26" t="s">
        <v>23</v>
      </c>
      <c r="H5" s="26"/>
      <c r="I5" s="26" t="s">
        <v>24</v>
      </c>
      <c r="J5" s="26"/>
      <c r="K5" s="26" t="s">
        <v>25</v>
      </c>
      <c r="L5" s="26"/>
      <c r="M5" s="26" t="s">
        <v>26</v>
      </c>
      <c r="N5" s="26"/>
      <c r="O5" s="26" t="s">
        <v>27</v>
      </c>
      <c r="P5" s="26"/>
      <c r="Q5" s="11"/>
    </row>
    <row r="6" s="2" customFormat="1" ht="33.75" hidden="1" customHeight="1" spans="1:17">
      <c r="A6" s="11"/>
      <c r="B6" s="9" t="s">
        <v>28</v>
      </c>
      <c r="C6" s="10" t="s">
        <v>29</v>
      </c>
      <c r="D6" s="10" t="s">
        <v>30</v>
      </c>
      <c r="E6" s="10" t="s">
        <v>29</v>
      </c>
      <c r="F6" s="10" t="s">
        <v>30</v>
      </c>
      <c r="G6" s="10" t="s">
        <v>29</v>
      </c>
      <c r="H6" s="10" t="s">
        <v>30</v>
      </c>
      <c r="I6" s="10" t="s">
        <v>29</v>
      </c>
      <c r="J6" s="10" t="s">
        <v>30</v>
      </c>
      <c r="K6" s="10" t="s">
        <v>29</v>
      </c>
      <c r="L6" s="10" t="s">
        <v>30</v>
      </c>
      <c r="M6" s="10" t="s">
        <v>29</v>
      </c>
      <c r="N6" s="10" t="s">
        <v>30</v>
      </c>
      <c r="O6" s="10" t="s">
        <v>29</v>
      </c>
      <c r="P6" s="10" t="s">
        <v>30</v>
      </c>
      <c r="Q6" s="11"/>
    </row>
    <row r="7" s="2" customFormat="1" ht="33.75" customHeight="1" spans="1:17">
      <c r="A7" s="12"/>
      <c r="B7" s="12"/>
      <c r="C7" s="13" t="s">
        <v>31</v>
      </c>
      <c r="D7" s="14"/>
      <c r="E7" s="10"/>
      <c r="F7" s="27" t="s">
        <v>32</v>
      </c>
      <c r="G7" s="28"/>
      <c r="H7" s="28"/>
      <c r="I7" s="28"/>
      <c r="J7" s="28"/>
      <c r="K7" s="28"/>
      <c r="L7" s="28"/>
      <c r="M7" s="28"/>
      <c r="N7" s="28"/>
      <c r="O7" s="28"/>
      <c r="P7" s="33"/>
      <c r="Q7" s="12"/>
    </row>
    <row r="8" ht="33.75" customHeight="1" spans="1:17">
      <c r="A8" s="15" t="s">
        <v>33</v>
      </c>
      <c r="B8" s="16" t="s">
        <v>34</v>
      </c>
      <c r="C8" s="17">
        <f>C10/C9</f>
        <v>0.000149484848484848</v>
      </c>
      <c r="D8" s="17">
        <f>D10/C9</f>
        <v>0.000272363636363636</v>
      </c>
      <c r="E8" s="17">
        <v>0.009</v>
      </c>
      <c r="F8" s="17">
        <v>0.015</v>
      </c>
      <c r="G8" s="17">
        <v>0.00375</v>
      </c>
      <c r="H8" s="17">
        <v>0.00625</v>
      </c>
      <c r="I8" s="17">
        <v>0.0012</v>
      </c>
      <c r="J8" s="17">
        <v>0.002</v>
      </c>
      <c r="K8" s="17">
        <v>0.00075</v>
      </c>
      <c r="L8" s="17">
        <v>0.00125</v>
      </c>
      <c r="M8" s="17">
        <v>0.00015</v>
      </c>
      <c r="N8" s="17">
        <v>0.00025</v>
      </c>
      <c r="O8" s="17">
        <v>0.0001</v>
      </c>
      <c r="P8" s="17">
        <v>0.0002</v>
      </c>
      <c r="Q8" s="17"/>
    </row>
    <row r="9" ht="33.75" customHeight="1" spans="1:17">
      <c r="A9" s="15"/>
      <c r="B9" s="16"/>
      <c r="C9" s="18">
        <f>计费对比表!C2</f>
        <v>330000</v>
      </c>
      <c r="D9" s="18"/>
      <c r="E9" s="29">
        <f>IF(AND(0&lt;$C$9,$C$9&lt;=100),$C$9*E$8,0)+IF(AND($C$9&gt;100),100*E$8,0)</f>
        <v>0.9</v>
      </c>
      <c r="F9" s="29">
        <f>IF(AND(0&lt;$C$9,$C$9&lt;=100),$C$9*F$8,0)+IF(AND($C$9&gt;100),100*F$8,0)</f>
        <v>1.5</v>
      </c>
      <c r="G9" s="29">
        <f>IF(AND(100&lt;$C$9,$C$9&lt;=1000),($C$9-100)*G$8,0)+IF(AND($C$9&gt;1000),900*G$8,0)</f>
        <v>3.375</v>
      </c>
      <c r="H9" s="29">
        <f>IF(AND(100&lt;$C$9,$C$9&lt;=1000),($C$9-100)*H$8,0)+IF(AND($C$9&gt;1000),900*H$8,0)</f>
        <v>5.625</v>
      </c>
      <c r="I9" s="29">
        <f>IF(AND(1000&lt;$C$9,$C$9&lt;=5000),($C$9-1000)*I$8,"0")+IF(AND($C$9&gt;5000),4000*I$8,"0")</f>
        <v>4.8</v>
      </c>
      <c r="J9" s="29">
        <f>IF(AND(1000&lt;$C$9,$C$9&lt;=5000),($C$9-1000)*J$8,"0")+IF(AND($C$9&gt;5000),4000*J$8,"0")</f>
        <v>8</v>
      </c>
      <c r="K9" s="31">
        <f>IF(AND(5000&lt;$C$9,$C$9&lt;=10000),($C$9-5000)*K$8,"0")+IF(AND($C$9&gt;10000),5000*K$8,"0")</f>
        <v>3.75</v>
      </c>
      <c r="L9" s="31">
        <f>IF(AND(5000&lt;$C$9,$C$9&lt;=10000),($C$9-5000)*L$8,"0")+IF(AND($C$9&gt;10000),5000*L$8,"0")</f>
        <v>6.25</v>
      </c>
      <c r="M9" s="31">
        <f>IF(AND(10000&lt;$C$9,$C$9&lt;=100000),($C$9-10000)*M$8,"0")+IF(AND($C$9&gt;100000),90000*M$8,"0")</f>
        <v>13.5</v>
      </c>
      <c r="N9" s="31">
        <f>IF(AND(10000&lt;$C$9,$C$9&lt;=100000),($C$9-10000)*N$8,"0")+IF(AND($C$9&gt;100000),90000*N$8,"0")</f>
        <v>22.5</v>
      </c>
      <c r="O9" s="31">
        <f>IF(AND(100000&lt;$C$9),($C$9-100000)*O$8,0)</f>
        <v>23</v>
      </c>
      <c r="P9" s="31">
        <f>IF(AND($C$9&gt;100000),($C$9-100000)*P$8,0)</f>
        <v>46</v>
      </c>
      <c r="Q9" s="31"/>
    </row>
    <row r="10" ht="33.75" customHeight="1" spans="1:17">
      <c r="A10" s="15"/>
      <c r="B10" s="19" t="s">
        <v>35</v>
      </c>
      <c r="C10" s="20">
        <f>ROUND(SUM(E9,G9,I9,K9,M9,O9),2)</f>
        <v>49.33</v>
      </c>
      <c r="D10" s="20">
        <f>ROUND(SUM(F9,H9,J9,L9,N9,P9),2)</f>
        <v>89.88</v>
      </c>
      <c r="E10" s="29">
        <f>ROUND(IF(AND(0&lt;C9,C9&lt;=100),E9),2)</f>
        <v>0</v>
      </c>
      <c r="F10" s="29">
        <f>ROUND(IF(AND(0&lt;C9,C9&lt;=100),F9),2)</f>
        <v>0</v>
      </c>
      <c r="G10" s="29">
        <f>ROUND(IF(AND(100&lt;C9,C9&lt;=1000),100*E8+(C9-100)*G8,0),2)</f>
        <v>0</v>
      </c>
      <c r="H10" s="29">
        <f>ROUND(IF(AND(100&lt;C9,C9&lt;=1000),100*F8+(C9-100)*H8,0),2)</f>
        <v>0</v>
      </c>
      <c r="I10" s="29">
        <f>ROUND(IF(AND(1000&lt;C9,C9&lt;=5000),100*E8+900*G8+(C9-1000)*I8,0),2)</f>
        <v>0</v>
      </c>
      <c r="J10" s="29">
        <f>ROUND(IF(AND(1000&lt;C9,C9&lt;=5000),100*F8+900*H8+(C9-1000)*J8,0),2)</f>
        <v>0</v>
      </c>
      <c r="K10" s="31">
        <f>ROUND(IF(AND(5000&lt;C9,C9&lt;=10000),100*E8+900*G8+4000*I8+(C9-5000)*K8,0),2)</f>
        <v>0</v>
      </c>
      <c r="L10" s="31">
        <f>ROUND(IF(AND(5000&lt;C9,C9&lt;=10000),100*F8+900*H8+4000*J8+(C9-5000)*L8,0),2)</f>
        <v>0</v>
      </c>
      <c r="M10" s="31">
        <f>ROUND(IF(AND(10000&lt;C9,C9&lt;=100000),100*E8+900*G8+4000*I8+5000*K8+(C9-10000)*M8,0),2)</f>
        <v>0</v>
      </c>
      <c r="N10" s="31">
        <f>ROUND(IF(AND(10000&lt;C9,C9&lt;=100000),100*F8+900*H8+4000*J8+5000*L8+(C9-10000)*N8,0),2)</f>
        <v>0</v>
      </c>
      <c r="O10" s="31">
        <f>ROUND(IF(AND(100000&lt;C9),100*E8+900*G8+4000*I8+5000*K8+90000*M8+(C9-100000)*O8,0),2)</f>
        <v>49.33</v>
      </c>
      <c r="P10" s="31">
        <f>ROUND(IF(AND(100000&lt;C9),100*F8+900*H8+4000*J8+5000*L8+90000*N8+(C9-100000)*P8,0),2)</f>
        <v>89.88</v>
      </c>
      <c r="Q10" s="31"/>
    </row>
    <row r="11" s="4" customFormat="1" ht="77.25" customHeight="1" spans="1:17">
      <c r="A11" s="21" t="s">
        <v>36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="4" customFormat="1" ht="18" hidden="1" customHeight="1" spans="1:17">
      <c r="A12" s="22" t="s">
        <v>37</v>
      </c>
      <c r="B12" s="22"/>
      <c r="C12" s="22" t="s">
        <v>38</v>
      </c>
      <c r="D12" s="10" t="s">
        <v>29</v>
      </c>
      <c r="E12" s="10" t="s">
        <v>30</v>
      </c>
      <c r="F12" s="22" t="s">
        <v>38</v>
      </c>
      <c r="G12" s="10" t="s">
        <v>29</v>
      </c>
      <c r="H12" s="10" t="s">
        <v>30</v>
      </c>
      <c r="I12" s="22" t="s">
        <v>38</v>
      </c>
      <c r="J12" s="10" t="s">
        <v>29</v>
      </c>
      <c r="K12" s="10" t="s">
        <v>30</v>
      </c>
      <c r="L12" s="22" t="s">
        <v>38</v>
      </c>
      <c r="M12" s="10" t="s">
        <v>29</v>
      </c>
      <c r="N12" s="10" t="s">
        <v>30</v>
      </c>
      <c r="O12" s="22" t="s">
        <v>38</v>
      </c>
      <c r="P12" s="10" t="s">
        <v>29</v>
      </c>
      <c r="Q12" s="10" t="s">
        <v>30</v>
      </c>
    </row>
    <row r="13" s="4" customFormat="1" ht="18" hidden="1" customHeight="1" spans="1:17">
      <c r="A13" s="22"/>
      <c r="B13" s="22"/>
      <c r="C13" s="23">
        <v>100</v>
      </c>
      <c r="D13" s="24">
        <f>ROUND(IF(AND(0&lt;$C$9,$C$9&lt;=100),$C$9*E$8,0)+IF(AND($C$9&gt;100),100*E$8,0),2)</f>
        <v>0.9</v>
      </c>
      <c r="E13" s="24">
        <f>ROUND(IF(AND(0&lt;$C$9,$C$9&lt;=100),$C$9*F$8,0)+IF(AND($C$9&gt;100),100*F$8,0),2)</f>
        <v>1.5</v>
      </c>
      <c r="F13" s="23">
        <v>1400</v>
      </c>
      <c r="G13" s="30">
        <f t="shared" ref="G13:G22" si="0">ROUND(IF(AND(1000&lt;F13,F13&lt;=5000),$D$22+(F13-1000)*$I$8,"0"),2)</f>
        <v>4.76</v>
      </c>
      <c r="H13" s="30">
        <f t="shared" ref="H13:H22" si="1">ROUND(IF(AND(1000&lt;F13,F13&lt;=5000),$E$22+(F13-1000)*$J$8,"0"),2)</f>
        <v>7.93</v>
      </c>
      <c r="I13" s="23">
        <v>5250</v>
      </c>
      <c r="J13" s="30">
        <f t="shared" ref="J13:J22" si="2">ROUND(IF(AND(5000&lt;I13,I13&lt;=10000),$G$22+(I13-5000)*$K$8,"0"),2)</f>
        <v>9.27</v>
      </c>
      <c r="K13" s="30">
        <f t="shared" ref="K13:K22" si="3">ROUND(IF(AND(5000&lt;I13,I13&lt;=10000),$H$22+(I13-5000)*$L$8,"0"),2)</f>
        <v>15.44</v>
      </c>
      <c r="L13" s="23">
        <v>7750</v>
      </c>
      <c r="M13" s="30">
        <f t="shared" ref="M13:M22" si="4">ROUND(IF(AND(5000&lt;L13,L13&lt;=10000),$G$22+(L13-5000)*$K$8,"0"),2)</f>
        <v>11.14</v>
      </c>
      <c r="N13" s="30">
        <f t="shared" ref="N13:N22" si="5">ROUND(IF(AND(5000&lt;L13,L13&lt;=10000),$H$22+(L13-5000)*$L$8,"0"),2)</f>
        <v>18.57</v>
      </c>
      <c r="O13" s="23">
        <v>11000</v>
      </c>
      <c r="P13" s="30">
        <f t="shared" ref="P13:P22" si="6">ROUND(IF(AND(10000&lt;O13,O13&lt;=100000),$M$22+(O13-10000)*$M$8,"0"),2)</f>
        <v>12.98</v>
      </c>
      <c r="Q13" s="30">
        <f t="shared" ref="Q13:Q22" si="7">ROUND(IF(AND(10000&lt;O13,O13&lt;=100000),$N$22+(O13-10000)*$N$8,"0"),2)</f>
        <v>21.63</v>
      </c>
    </row>
    <row r="14" s="4" customFormat="1" ht="18" hidden="1" customHeight="1" spans="1:17">
      <c r="A14" s="22"/>
      <c r="B14" s="22"/>
      <c r="C14" s="23">
        <v>200</v>
      </c>
      <c r="D14" s="24">
        <f t="shared" ref="D14:D22" si="8">ROUND(IF(AND(100&lt;C14,C14&lt;=1000),$D$13+(C14-100)*$G$8,0),2)</f>
        <v>1.28</v>
      </c>
      <c r="E14" s="24">
        <f t="shared" ref="E14:E22" si="9">ROUND(IF(AND(100&lt;C14,C14&lt;=1000),$E$13+(C14-100)*$H$8,0),2)</f>
        <v>2.13</v>
      </c>
      <c r="F14" s="23">
        <v>1800</v>
      </c>
      <c r="G14" s="30">
        <f t="shared" si="0"/>
        <v>5.24</v>
      </c>
      <c r="H14" s="30">
        <f t="shared" si="1"/>
        <v>8.73</v>
      </c>
      <c r="I14" s="23">
        <v>5500</v>
      </c>
      <c r="J14" s="30">
        <f t="shared" si="2"/>
        <v>9.46</v>
      </c>
      <c r="K14" s="30">
        <f t="shared" si="3"/>
        <v>15.76</v>
      </c>
      <c r="L14" s="23">
        <v>8000</v>
      </c>
      <c r="M14" s="30">
        <f t="shared" si="4"/>
        <v>11.33</v>
      </c>
      <c r="N14" s="30">
        <f t="shared" si="5"/>
        <v>18.88</v>
      </c>
      <c r="O14" s="23">
        <v>12000</v>
      </c>
      <c r="P14" s="30">
        <f t="shared" si="6"/>
        <v>13.13</v>
      </c>
      <c r="Q14" s="30">
        <f t="shared" si="7"/>
        <v>21.88</v>
      </c>
    </row>
    <row r="15" s="4" customFormat="1" ht="18" hidden="1" customHeight="1" spans="1:17">
      <c r="A15" s="22"/>
      <c r="B15" s="22"/>
      <c r="C15" s="23">
        <v>300</v>
      </c>
      <c r="D15" s="24">
        <f t="shared" si="8"/>
        <v>1.65</v>
      </c>
      <c r="E15" s="24">
        <f t="shared" si="9"/>
        <v>2.75</v>
      </c>
      <c r="F15" s="23">
        <v>2200</v>
      </c>
      <c r="G15" s="30">
        <f t="shared" si="0"/>
        <v>5.72</v>
      </c>
      <c r="H15" s="30">
        <f t="shared" si="1"/>
        <v>9.53</v>
      </c>
      <c r="I15" s="23">
        <v>5750</v>
      </c>
      <c r="J15" s="30">
        <f t="shared" si="2"/>
        <v>9.64</v>
      </c>
      <c r="K15" s="30">
        <f t="shared" si="3"/>
        <v>16.07</v>
      </c>
      <c r="L15" s="23">
        <v>8250</v>
      </c>
      <c r="M15" s="30">
        <f t="shared" si="4"/>
        <v>11.52</v>
      </c>
      <c r="N15" s="30">
        <f t="shared" si="5"/>
        <v>19.19</v>
      </c>
      <c r="O15" s="23">
        <v>15000</v>
      </c>
      <c r="P15" s="30">
        <f t="shared" si="6"/>
        <v>13.58</v>
      </c>
      <c r="Q15" s="30">
        <f t="shared" si="7"/>
        <v>22.63</v>
      </c>
    </row>
    <row r="16" s="4" customFormat="1" ht="18" hidden="1" customHeight="1" spans="1:17">
      <c r="A16" s="22"/>
      <c r="B16" s="22"/>
      <c r="C16" s="23">
        <v>400</v>
      </c>
      <c r="D16" s="24">
        <f t="shared" si="8"/>
        <v>2.03</v>
      </c>
      <c r="E16" s="24">
        <f t="shared" si="9"/>
        <v>3.38</v>
      </c>
      <c r="F16" s="23">
        <v>2600</v>
      </c>
      <c r="G16" s="30">
        <f t="shared" si="0"/>
        <v>6.2</v>
      </c>
      <c r="H16" s="30">
        <f t="shared" si="1"/>
        <v>10.33</v>
      </c>
      <c r="I16" s="23">
        <v>6000</v>
      </c>
      <c r="J16" s="30">
        <f t="shared" si="2"/>
        <v>9.83</v>
      </c>
      <c r="K16" s="30">
        <f t="shared" si="3"/>
        <v>16.38</v>
      </c>
      <c r="L16" s="23">
        <v>8500</v>
      </c>
      <c r="M16" s="30">
        <f t="shared" si="4"/>
        <v>11.71</v>
      </c>
      <c r="N16" s="30">
        <f t="shared" si="5"/>
        <v>19.51</v>
      </c>
      <c r="O16" s="23">
        <v>20000</v>
      </c>
      <c r="P16" s="30">
        <f t="shared" si="6"/>
        <v>14.33</v>
      </c>
      <c r="Q16" s="30">
        <f t="shared" si="7"/>
        <v>23.88</v>
      </c>
    </row>
    <row r="17" s="4" customFormat="1" ht="18" hidden="1" customHeight="1" spans="1:17">
      <c r="A17" s="22"/>
      <c r="B17" s="22"/>
      <c r="C17" s="23">
        <v>500</v>
      </c>
      <c r="D17" s="24">
        <f t="shared" si="8"/>
        <v>2.4</v>
      </c>
      <c r="E17" s="24">
        <f t="shared" si="9"/>
        <v>4</v>
      </c>
      <c r="F17" s="23">
        <v>3000</v>
      </c>
      <c r="G17" s="30">
        <f t="shared" si="0"/>
        <v>6.68</v>
      </c>
      <c r="H17" s="30">
        <f t="shared" si="1"/>
        <v>11.13</v>
      </c>
      <c r="I17" s="23">
        <v>6250</v>
      </c>
      <c r="J17" s="30">
        <f t="shared" si="2"/>
        <v>10.02</v>
      </c>
      <c r="K17" s="30">
        <f t="shared" si="3"/>
        <v>16.69</v>
      </c>
      <c r="L17" s="23">
        <v>8750</v>
      </c>
      <c r="M17" s="30">
        <f t="shared" si="4"/>
        <v>11.89</v>
      </c>
      <c r="N17" s="30">
        <f t="shared" si="5"/>
        <v>19.82</v>
      </c>
      <c r="O17" s="23">
        <v>30000</v>
      </c>
      <c r="P17" s="30">
        <f t="shared" si="6"/>
        <v>15.83</v>
      </c>
      <c r="Q17" s="30">
        <f t="shared" si="7"/>
        <v>26.38</v>
      </c>
    </row>
    <row r="18" s="4" customFormat="1" ht="18" hidden="1" customHeight="1" spans="1:17">
      <c r="A18" s="22"/>
      <c r="B18" s="22"/>
      <c r="C18" s="23">
        <v>600</v>
      </c>
      <c r="D18" s="24">
        <f t="shared" si="8"/>
        <v>2.78</v>
      </c>
      <c r="E18" s="24">
        <f t="shared" si="9"/>
        <v>4.63</v>
      </c>
      <c r="F18" s="23">
        <v>3400</v>
      </c>
      <c r="G18" s="30">
        <f t="shared" si="0"/>
        <v>7.16</v>
      </c>
      <c r="H18" s="30">
        <f t="shared" si="1"/>
        <v>11.93</v>
      </c>
      <c r="I18" s="23">
        <v>6500</v>
      </c>
      <c r="J18" s="30">
        <f t="shared" si="2"/>
        <v>10.21</v>
      </c>
      <c r="K18" s="30">
        <f t="shared" si="3"/>
        <v>17.01</v>
      </c>
      <c r="L18" s="23">
        <v>9000</v>
      </c>
      <c r="M18" s="30">
        <f t="shared" si="4"/>
        <v>12.08</v>
      </c>
      <c r="N18" s="30">
        <f t="shared" si="5"/>
        <v>20.13</v>
      </c>
      <c r="O18" s="23">
        <v>40000</v>
      </c>
      <c r="P18" s="30">
        <f t="shared" si="6"/>
        <v>17.33</v>
      </c>
      <c r="Q18" s="30">
        <f t="shared" si="7"/>
        <v>28.88</v>
      </c>
    </row>
    <row r="19" s="4" customFormat="1" ht="18" hidden="1" customHeight="1" spans="1:17">
      <c r="A19" s="22"/>
      <c r="B19" s="22"/>
      <c r="C19" s="23">
        <v>700</v>
      </c>
      <c r="D19" s="24">
        <f t="shared" si="8"/>
        <v>3.15</v>
      </c>
      <c r="E19" s="24">
        <f t="shared" si="9"/>
        <v>5.25</v>
      </c>
      <c r="F19" s="23">
        <v>3800</v>
      </c>
      <c r="G19" s="30">
        <f t="shared" si="0"/>
        <v>7.64</v>
      </c>
      <c r="H19" s="30">
        <f t="shared" si="1"/>
        <v>12.73</v>
      </c>
      <c r="I19" s="23">
        <v>6750</v>
      </c>
      <c r="J19" s="30">
        <f t="shared" si="2"/>
        <v>10.39</v>
      </c>
      <c r="K19" s="30">
        <f t="shared" si="3"/>
        <v>17.32</v>
      </c>
      <c r="L19" s="23">
        <v>9250</v>
      </c>
      <c r="M19" s="30">
        <f t="shared" si="4"/>
        <v>12.27</v>
      </c>
      <c r="N19" s="30">
        <f t="shared" si="5"/>
        <v>20.44</v>
      </c>
      <c r="O19" s="23">
        <v>50000</v>
      </c>
      <c r="P19" s="30">
        <f t="shared" si="6"/>
        <v>18.83</v>
      </c>
      <c r="Q19" s="30">
        <f t="shared" si="7"/>
        <v>31.38</v>
      </c>
    </row>
    <row r="20" s="4" customFormat="1" ht="18" hidden="1" customHeight="1" spans="1:17">
      <c r="A20" s="22"/>
      <c r="B20" s="22"/>
      <c r="C20" s="23">
        <v>800</v>
      </c>
      <c r="D20" s="24">
        <f t="shared" si="8"/>
        <v>3.53</v>
      </c>
      <c r="E20" s="24">
        <f t="shared" si="9"/>
        <v>5.88</v>
      </c>
      <c r="F20" s="23">
        <v>4200</v>
      </c>
      <c r="G20" s="30">
        <f t="shared" si="0"/>
        <v>8.12</v>
      </c>
      <c r="H20" s="30">
        <f t="shared" si="1"/>
        <v>13.53</v>
      </c>
      <c r="I20" s="23">
        <v>7000</v>
      </c>
      <c r="J20" s="30">
        <f t="shared" si="2"/>
        <v>10.58</v>
      </c>
      <c r="K20" s="30">
        <f t="shared" si="3"/>
        <v>17.63</v>
      </c>
      <c r="L20" s="23">
        <v>9500</v>
      </c>
      <c r="M20" s="30">
        <f t="shared" si="4"/>
        <v>12.46</v>
      </c>
      <c r="N20" s="30">
        <f t="shared" si="5"/>
        <v>20.76</v>
      </c>
      <c r="O20" s="23">
        <v>65000</v>
      </c>
      <c r="P20" s="30">
        <f t="shared" si="6"/>
        <v>21.08</v>
      </c>
      <c r="Q20" s="30">
        <f t="shared" si="7"/>
        <v>35.13</v>
      </c>
    </row>
    <row r="21" s="4" customFormat="1" ht="18" hidden="1" customHeight="1" spans="1:17">
      <c r="A21" s="22"/>
      <c r="B21" s="22"/>
      <c r="C21" s="23">
        <v>900</v>
      </c>
      <c r="D21" s="24">
        <f t="shared" si="8"/>
        <v>3.9</v>
      </c>
      <c r="E21" s="24">
        <f t="shared" si="9"/>
        <v>6.5</v>
      </c>
      <c r="F21" s="23">
        <v>4600</v>
      </c>
      <c r="G21" s="30">
        <f t="shared" si="0"/>
        <v>8.6</v>
      </c>
      <c r="H21" s="30">
        <f t="shared" si="1"/>
        <v>14.33</v>
      </c>
      <c r="I21" s="23">
        <v>7250</v>
      </c>
      <c r="J21" s="30">
        <f t="shared" si="2"/>
        <v>10.77</v>
      </c>
      <c r="K21" s="30">
        <f t="shared" si="3"/>
        <v>17.94</v>
      </c>
      <c r="L21" s="23">
        <v>9750</v>
      </c>
      <c r="M21" s="30">
        <f t="shared" si="4"/>
        <v>12.64</v>
      </c>
      <c r="N21" s="30">
        <f t="shared" si="5"/>
        <v>21.07</v>
      </c>
      <c r="O21" s="23">
        <v>80000</v>
      </c>
      <c r="P21" s="30">
        <f t="shared" si="6"/>
        <v>23.33</v>
      </c>
      <c r="Q21" s="30">
        <f t="shared" si="7"/>
        <v>38.88</v>
      </c>
    </row>
    <row r="22" s="4" customFormat="1" ht="18" hidden="1" customHeight="1" spans="1:17">
      <c r="A22" s="22"/>
      <c r="B22" s="22"/>
      <c r="C22" s="23">
        <v>1000</v>
      </c>
      <c r="D22" s="24">
        <f t="shared" si="8"/>
        <v>4.28</v>
      </c>
      <c r="E22" s="24">
        <f t="shared" si="9"/>
        <v>7.13</v>
      </c>
      <c r="F22" s="23">
        <v>5000</v>
      </c>
      <c r="G22" s="30">
        <f t="shared" si="0"/>
        <v>9.08</v>
      </c>
      <c r="H22" s="30">
        <f t="shared" si="1"/>
        <v>15.13</v>
      </c>
      <c r="I22" s="23">
        <v>7500</v>
      </c>
      <c r="J22" s="30">
        <f t="shared" si="2"/>
        <v>10.96</v>
      </c>
      <c r="K22" s="30">
        <f t="shared" si="3"/>
        <v>18.26</v>
      </c>
      <c r="L22" s="23">
        <v>10000</v>
      </c>
      <c r="M22" s="30">
        <f t="shared" si="4"/>
        <v>12.83</v>
      </c>
      <c r="N22" s="30">
        <f t="shared" si="5"/>
        <v>21.38</v>
      </c>
      <c r="O22" s="23">
        <v>100000</v>
      </c>
      <c r="P22" s="30">
        <f t="shared" si="6"/>
        <v>26.33</v>
      </c>
      <c r="Q22" s="30">
        <f t="shared" si="7"/>
        <v>43.88</v>
      </c>
    </row>
    <row r="23" spans="4:5">
      <c r="D23" s="25"/>
      <c r="E23" s="25"/>
    </row>
  </sheetData>
  <mergeCells count="21">
    <mergeCell ref="A1:P1"/>
    <mergeCell ref="A2:P2"/>
    <mergeCell ref="A3:P3"/>
    <mergeCell ref="E4:P4"/>
    <mergeCell ref="E5:F5"/>
    <mergeCell ref="G5:H5"/>
    <mergeCell ref="I5:J5"/>
    <mergeCell ref="K5:L5"/>
    <mergeCell ref="M5:N5"/>
    <mergeCell ref="O5:P5"/>
    <mergeCell ref="C7:D7"/>
    <mergeCell ref="F7:P7"/>
    <mergeCell ref="C9:D9"/>
    <mergeCell ref="A11:Q11"/>
    <mergeCell ref="A4:A7"/>
    <mergeCell ref="A8:A10"/>
    <mergeCell ref="B6:B7"/>
    <mergeCell ref="B8:B9"/>
    <mergeCell ref="Q4:Q7"/>
    <mergeCell ref="B4:D5"/>
    <mergeCell ref="A12:B22"/>
  </mergeCells>
  <printOptions horizontalCentered="1"/>
  <pageMargins left="0.75" right="0.75" top="0.979166666666667" bottom="0.979166666666667" header="0.509027777777778" footer="0.509027777777778"/>
  <pageSetup paperSize="9" fitToHeight="0" orientation="landscape" blackAndWhite="1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3"/>
  <sheetViews>
    <sheetView workbookViewId="0">
      <selection activeCell="E8" sqref="E8"/>
    </sheetView>
  </sheetViews>
  <sheetFormatPr defaultColWidth="9.14285714285714" defaultRowHeight="17.6"/>
  <cols>
    <col min="1" max="1" width="3.625" style="3" customWidth="1"/>
    <col min="2" max="2" width="16.25" style="3" customWidth="1"/>
    <col min="3" max="3" width="12.625" style="3" customWidth="1"/>
    <col min="4" max="4" width="10.75" style="3" hidden="1" customWidth="1"/>
    <col min="5" max="5" width="12.625" style="3" customWidth="1"/>
    <col min="6" max="6" width="9.625" style="3" hidden="1" customWidth="1"/>
    <col min="7" max="7" width="12.625" style="3" customWidth="1"/>
    <col min="8" max="8" width="9.625" style="3" hidden="1" customWidth="1"/>
    <col min="9" max="9" width="12.625" style="3" customWidth="1"/>
    <col min="10" max="10" width="16.125" style="3" hidden="1" customWidth="1"/>
    <col min="11" max="11" width="12.625" style="3" customWidth="1"/>
    <col min="12" max="12" width="10.75" style="3" hidden="1" customWidth="1"/>
    <col min="13" max="13" width="12.625" style="3" customWidth="1"/>
    <col min="14" max="14" width="10.75" style="3" hidden="1" customWidth="1"/>
    <col min="15" max="15" width="12.625" style="3" customWidth="1"/>
    <col min="16" max="16" width="10.75" style="3" hidden="1" customWidth="1"/>
    <col min="17" max="17" width="9.5" style="3"/>
    <col min="18" max="16384" width="9" style="3"/>
  </cols>
  <sheetData>
    <row r="1" s="1" customFormat="1" ht="46.5" customHeight="1" spans="1:17">
      <c r="A1" s="5" t="s">
        <v>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34"/>
    </row>
    <row r="2" s="1" customFormat="1" ht="46.5" customHeight="1" spans="1:17">
      <c r="A2" s="6" t="s">
        <v>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5"/>
    </row>
    <row r="3" s="1" customFormat="1" ht="26.25" customHeight="1" spans="1:17">
      <c r="A3" s="7" t="s">
        <v>64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32"/>
      <c r="Q3" s="36"/>
    </row>
    <row r="4" s="2" customFormat="1" ht="33.75" customHeight="1" spans="1:17">
      <c r="A4" s="9" t="s">
        <v>3</v>
      </c>
      <c r="B4" s="10" t="s">
        <v>19</v>
      </c>
      <c r="C4" s="10"/>
      <c r="D4" s="10"/>
      <c r="E4" s="10" t="s">
        <v>20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9" t="s">
        <v>21</v>
      </c>
    </row>
    <row r="5" s="2" customFormat="1" ht="33.75" customHeight="1" spans="1:17">
      <c r="A5" s="11"/>
      <c r="B5" s="10"/>
      <c r="C5" s="10"/>
      <c r="D5" s="10"/>
      <c r="E5" s="26" t="s">
        <v>22</v>
      </c>
      <c r="F5" s="26"/>
      <c r="G5" s="26" t="s">
        <v>23</v>
      </c>
      <c r="H5" s="26"/>
      <c r="I5" s="26" t="s">
        <v>24</v>
      </c>
      <c r="J5" s="26"/>
      <c r="K5" s="26" t="s">
        <v>25</v>
      </c>
      <c r="L5" s="26"/>
      <c r="M5" s="26" t="s">
        <v>26</v>
      </c>
      <c r="N5" s="26"/>
      <c r="O5" s="26" t="s">
        <v>27</v>
      </c>
      <c r="P5" s="26"/>
      <c r="Q5" s="11"/>
    </row>
    <row r="6" s="2" customFormat="1" ht="33.75" hidden="1" customHeight="1" spans="1:17">
      <c r="A6" s="11"/>
      <c r="B6" s="9" t="s">
        <v>28</v>
      </c>
      <c r="C6" s="10" t="s">
        <v>29</v>
      </c>
      <c r="D6" s="10" t="s">
        <v>30</v>
      </c>
      <c r="E6" s="10" t="s">
        <v>29</v>
      </c>
      <c r="F6" s="10" t="s">
        <v>30</v>
      </c>
      <c r="G6" s="10" t="s">
        <v>29</v>
      </c>
      <c r="H6" s="10" t="s">
        <v>30</v>
      </c>
      <c r="I6" s="10" t="s">
        <v>29</v>
      </c>
      <c r="J6" s="10" t="s">
        <v>30</v>
      </c>
      <c r="K6" s="10" t="s">
        <v>29</v>
      </c>
      <c r="L6" s="10" t="s">
        <v>30</v>
      </c>
      <c r="M6" s="10" t="s">
        <v>29</v>
      </c>
      <c r="N6" s="10" t="s">
        <v>30</v>
      </c>
      <c r="O6" s="10" t="s">
        <v>29</v>
      </c>
      <c r="P6" s="10" t="s">
        <v>30</v>
      </c>
      <c r="Q6" s="11"/>
    </row>
    <row r="7" s="2" customFormat="1" ht="33.75" customHeight="1" spans="1:17">
      <c r="A7" s="12"/>
      <c r="B7" s="12"/>
      <c r="C7" s="13" t="s">
        <v>31</v>
      </c>
      <c r="D7" s="14"/>
      <c r="E7" s="10"/>
      <c r="F7" s="27" t="s">
        <v>32</v>
      </c>
      <c r="G7" s="28"/>
      <c r="H7" s="28"/>
      <c r="I7" s="28"/>
      <c r="J7" s="28"/>
      <c r="K7" s="28"/>
      <c r="L7" s="28"/>
      <c r="M7" s="28"/>
      <c r="N7" s="28"/>
      <c r="O7" s="28"/>
      <c r="P7" s="33"/>
      <c r="Q7" s="12"/>
    </row>
    <row r="8" s="3" customFormat="1" ht="33.75" customHeight="1" spans="1:17">
      <c r="A8" s="15" t="s">
        <v>33</v>
      </c>
      <c r="B8" s="16" t="s">
        <v>34</v>
      </c>
      <c r="C8" s="17">
        <f>C10/C9</f>
        <v>0.000153939393939394</v>
      </c>
      <c r="D8" s="17">
        <f>D10/C9</f>
        <v>0.000272363636363636</v>
      </c>
      <c r="E8" s="17">
        <v>0.01</v>
      </c>
      <c r="F8" s="17">
        <v>0.015</v>
      </c>
      <c r="G8" s="17">
        <v>0.005</v>
      </c>
      <c r="H8" s="17">
        <v>0.00625</v>
      </c>
      <c r="I8" s="17">
        <v>0.0012</v>
      </c>
      <c r="J8" s="17">
        <v>0.002</v>
      </c>
      <c r="K8" s="17">
        <v>0.0008</v>
      </c>
      <c r="L8" s="17">
        <v>0.00125</v>
      </c>
      <c r="M8" s="17">
        <v>0.00015</v>
      </c>
      <c r="N8" s="17">
        <v>0.00025</v>
      </c>
      <c r="O8" s="17">
        <v>0.0001</v>
      </c>
      <c r="P8" s="17">
        <v>0.0002</v>
      </c>
      <c r="Q8" s="17"/>
    </row>
    <row r="9" s="3" customFormat="1" ht="33.75" customHeight="1" spans="1:17">
      <c r="A9" s="15"/>
      <c r="B9" s="16"/>
      <c r="C9" s="18">
        <f>计费对比表!C2</f>
        <v>330000</v>
      </c>
      <c r="D9" s="18"/>
      <c r="E9" s="29">
        <f>IF(AND(0&lt;$C$9,$C$9&lt;=100),$C$9*E$8,0)+IF(AND($C$9&gt;100),100*E$8,0)</f>
        <v>1</v>
      </c>
      <c r="F9" s="29">
        <f>IF(AND(0&lt;$C$9,$C$9&lt;=100),$C$9*F$8,0)+IF(AND($C$9&gt;100),100*F$8,0)</f>
        <v>1.5</v>
      </c>
      <c r="G9" s="29">
        <f>IF(AND(100&lt;$C$9,$C$9&lt;=1000),($C$9-100)*G$8,0)+IF(AND($C$9&gt;1000),900*G$8,0)</f>
        <v>4.5</v>
      </c>
      <c r="H9" s="29">
        <f>IF(AND(100&lt;$C$9,$C$9&lt;=1000),($C$9-100)*H$8,0)+IF(AND($C$9&gt;1000),900*H$8,0)</f>
        <v>5.625</v>
      </c>
      <c r="I9" s="29">
        <f>IF(AND(1000&lt;$C$9,$C$9&lt;=5000),($C$9-1000)*I$8,"0")+IF(AND($C$9&gt;5000),4000*I$8,"0")</f>
        <v>4.8</v>
      </c>
      <c r="J9" s="29">
        <f>IF(AND(1000&lt;$C$9,$C$9&lt;=5000),($C$9-1000)*J$8,"0")+IF(AND($C$9&gt;5000),4000*J$8,"0")</f>
        <v>8</v>
      </c>
      <c r="K9" s="31">
        <f>IF(AND(5000&lt;$C$9,$C$9&lt;=10000),($C$9-5000)*K$8,"0")+IF(AND($C$9&gt;10000),5000*K$8,"0")</f>
        <v>4</v>
      </c>
      <c r="L9" s="31">
        <f>IF(AND(5000&lt;$C$9,$C$9&lt;=10000),($C$9-5000)*L$8,"0")+IF(AND($C$9&gt;10000),5000*L$8,"0")</f>
        <v>6.25</v>
      </c>
      <c r="M9" s="31">
        <f>IF(AND(10000&lt;$C$9,$C$9&lt;=100000),($C$9-10000)*M$8,"0")+IF(AND($C$9&gt;100000),90000*M$8,"0")</f>
        <v>13.5</v>
      </c>
      <c r="N9" s="31">
        <f>IF(AND(10000&lt;$C$9,$C$9&lt;=100000),($C$9-10000)*N$8,"0")+IF(AND($C$9&gt;100000),90000*N$8,"0")</f>
        <v>22.5</v>
      </c>
      <c r="O9" s="31">
        <f>IF(AND(100000&lt;$C$9),($C$9-100000)*O$8,0)</f>
        <v>23</v>
      </c>
      <c r="P9" s="31">
        <f>IF(AND($C$9&gt;100000),($C$9-100000)*P$8,0)</f>
        <v>46</v>
      </c>
      <c r="Q9" s="31"/>
    </row>
    <row r="10" s="3" customFormat="1" ht="33.75" customHeight="1" spans="1:17">
      <c r="A10" s="15"/>
      <c r="B10" s="19" t="s">
        <v>35</v>
      </c>
      <c r="C10" s="20">
        <f>ROUND(SUM(E9,G9,I9,K9,M9,O9),2)</f>
        <v>50.8</v>
      </c>
      <c r="D10" s="20">
        <f>ROUND(SUM(F9,H9,J9,L9,N9,P9),2)</f>
        <v>89.88</v>
      </c>
      <c r="E10" s="29">
        <f>ROUND(IF(AND(0&lt;C9,C9&lt;=100),E9),2)</f>
        <v>0</v>
      </c>
      <c r="F10" s="29">
        <f>ROUND(IF(AND(0&lt;C9,C9&lt;=100),F9),2)</f>
        <v>0</v>
      </c>
      <c r="G10" s="29">
        <f>ROUND(IF(AND(100&lt;C9,C9&lt;=1000),100*E8+(C9-100)*G8,0),2)</f>
        <v>0</v>
      </c>
      <c r="H10" s="29">
        <f>ROUND(IF(AND(100&lt;C9,C9&lt;=1000),100*F8+(C9-100)*H8,0),2)</f>
        <v>0</v>
      </c>
      <c r="I10" s="29">
        <f>ROUND(IF(AND(1000&lt;C9,C9&lt;=5000),100*E8+900*G8+(C9-1000)*I8,0),2)</f>
        <v>0</v>
      </c>
      <c r="J10" s="29">
        <f>ROUND(IF(AND(1000&lt;C9,C9&lt;=5000),100*F8+900*H8+(C9-1000)*J8,0),2)</f>
        <v>0</v>
      </c>
      <c r="K10" s="31">
        <f>ROUND(IF(AND(5000&lt;C9,C9&lt;=10000),100*E8+900*G8+4000*I8+(C9-5000)*K8,0),2)</f>
        <v>0</v>
      </c>
      <c r="L10" s="31">
        <f>ROUND(IF(AND(5000&lt;C9,C9&lt;=10000),100*F8+900*H8+4000*J8+(C9-5000)*L8,0),2)</f>
        <v>0</v>
      </c>
      <c r="M10" s="31">
        <f>ROUND(IF(AND(10000&lt;C9,C9&lt;=100000),100*E8+900*G8+4000*I8+5000*K8+(C9-10000)*M8,0),2)</f>
        <v>0</v>
      </c>
      <c r="N10" s="31">
        <f>ROUND(IF(AND(10000&lt;C9,C9&lt;=100000),100*F8+900*H8+4000*J8+5000*L8+(C9-10000)*N8,0),2)</f>
        <v>0</v>
      </c>
      <c r="O10" s="31">
        <f>ROUND(IF(AND(100000&lt;C9),100*E8+900*G8+4000*I8+5000*K8+90000*M8+(C9-100000)*O8,0),2)</f>
        <v>50.8</v>
      </c>
      <c r="P10" s="31">
        <f>ROUND(IF(AND(100000&lt;C9),100*F8+900*H8+4000*J8+5000*L8+90000*N8+(C9-100000)*P8,0),2)</f>
        <v>89.88</v>
      </c>
      <c r="Q10" s="31"/>
    </row>
    <row r="11" s="4" customFormat="1" ht="77.25" customHeight="1" spans="1:17">
      <c r="A11" s="21" t="s">
        <v>36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="4" customFormat="1" ht="18" hidden="1" customHeight="1" spans="1:17">
      <c r="A12" s="22" t="s">
        <v>37</v>
      </c>
      <c r="B12" s="22"/>
      <c r="C12" s="22" t="s">
        <v>38</v>
      </c>
      <c r="D12" s="10" t="s">
        <v>29</v>
      </c>
      <c r="E12" s="10" t="s">
        <v>30</v>
      </c>
      <c r="F12" s="22" t="s">
        <v>38</v>
      </c>
      <c r="G12" s="10" t="s">
        <v>29</v>
      </c>
      <c r="H12" s="10" t="s">
        <v>30</v>
      </c>
      <c r="I12" s="22" t="s">
        <v>38</v>
      </c>
      <c r="J12" s="10" t="s">
        <v>29</v>
      </c>
      <c r="K12" s="10" t="s">
        <v>30</v>
      </c>
      <c r="L12" s="22" t="s">
        <v>38</v>
      </c>
      <c r="M12" s="10" t="s">
        <v>29</v>
      </c>
      <c r="N12" s="10" t="s">
        <v>30</v>
      </c>
      <c r="O12" s="22" t="s">
        <v>38</v>
      </c>
      <c r="P12" s="10" t="s">
        <v>29</v>
      </c>
      <c r="Q12" s="10" t="s">
        <v>30</v>
      </c>
    </row>
    <row r="13" s="4" customFormat="1" ht="18" hidden="1" customHeight="1" spans="1:17">
      <c r="A13" s="22"/>
      <c r="B13" s="22"/>
      <c r="C13" s="23">
        <v>100</v>
      </c>
      <c r="D13" s="24">
        <f>ROUND(IF(AND(0&lt;$C$9,$C$9&lt;=100),$C$9*E$8,0)+IF(AND($C$9&gt;100),100*E$8,0),2)</f>
        <v>1</v>
      </c>
      <c r="E13" s="24">
        <f>ROUND(IF(AND(0&lt;$C$9,$C$9&lt;=100),$C$9*F$8,0)+IF(AND($C$9&gt;100),100*F$8,0),2)</f>
        <v>1.5</v>
      </c>
      <c r="F13" s="23">
        <v>1400</v>
      </c>
      <c r="G13" s="30">
        <f t="shared" ref="G13:G22" si="0">ROUND(IF(AND(1000&lt;F13,F13&lt;=5000),$D$22+(F13-1000)*$I$8,"0"),2)</f>
        <v>5.98</v>
      </c>
      <c r="H13" s="30">
        <f t="shared" ref="H13:H22" si="1">ROUND(IF(AND(1000&lt;F13,F13&lt;=5000),$E$22+(F13-1000)*$J$8,"0"),2)</f>
        <v>7.93</v>
      </c>
      <c r="I13" s="23">
        <v>5250</v>
      </c>
      <c r="J13" s="30">
        <f t="shared" ref="J13:J22" si="2">ROUND(IF(AND(5000&lt;I13,I13&lt;=10000),$G$22+(I13-5000)*$K$8,"0"),2)</f>
        <v>10.5</v>
      </c>
      <c r="K13" s="30">
        <f t="shared" ref="K13:K22" si="3">ROUND(IF(AND(5000&lt;I13,I13&lt;=10000),$H$22+(I13-5000)*$L$8,"0"),2)</f>
        <v>15.44</v>
      </c>
      <c r="L13" s="23">
        <v>7750</v>
      </c>
      <c r="M13" s="30">
        <f t="shared" ref="M13:M22" si="4">ROUND(IF(AND(5000&lt;L13,L13&lt;=10000),$G$22+(L13-5000)*$K$8,"0"),2)</f>
        <v>12.5</v>
      </c>
      <c r="N13" s="30">
        <f t="shared" ref="N13:N22" si="5">ROUND(IF(AND(5000&lt;L13,L13&lt;=10000),$H$22+(L13-5000)*$L$8,"0"),2)</f>
        <v>18.57</v>
      </c>
      <c r="O13" s="23">
        <v>11000</v>
      </c>
      <c r="P13" s="30">
        <f t="shared" ref="P13:P22" si="6">ROUND(IF(AND(10000&lt;O13,O13&lt;=100000),$M$22+(O13-10000)*$M$8,"0"),2)</f>
        <v>14.45</v>
      </c>
      <c r="Q13" s="30">
        <f t="shared" ref="Q13:Q22" si="7">ROUND(IF(AND(10000&lt;O13,O13&lt;=100000),$N$22+(O13-10000)*$N$8,"0"),2)</f>
        <v>21.63</v>
      </c>
    </row>
    <row r="14" s="4" customFormat="1" ht="18" hidden="1" customHeight="1" spans="1:17">
      <c r="A14" s="22"/>
      <c r="B14" s="22"/>
      <c r="C14" s="23">
        <v>200</v>
      </c>
      <c r="D14" s="24">
        <f t="shared" ref="D14:D22" si="8">ROUND(IF(AND(100&lt;C14,C14&lt;=1000),$D$13+(C14-100)*$G$8,0),2)</f>
        <v>1.5</v>
      </c>
      <c r="E14" s="24">
        <f t="shared" ref="E14:E22" si="9">ROUND(IF(AND(100&lt;C14,C14&lt;=1000),$E$13+(C14-100)*$H$8,0),2)</f>
        <v>2.13</v>
      </c>
      <c r="F14" s="23">
        <v>1800</v>
      </c>
      <c r="G14" s="30">
        <f t="shared" si="0"/>
        <v>6.46</v>
      </c>
      <c r="H14" s="30">
        <f t="shared" si="1"/>
        <v>8.73</v>
      </c>
      <c r="I14" s="23">
        <v>5500</v>
      </c>
      <c r="J14" s="30">
        <f t="shared" si="2"/>
        <v>10.7</v>
      </c>
      <c r="K14" s="30">
        <f t="shared" si="3"/>
        <v>15.76</v>
      </c>
      <c r="L14" s="23">
        <v>8000</v>
      </c>
      <c r="M14" s="30">
        <f t="shared" si="4"/>
        <v>12.7</v>
      </c>
      <c r="N14" s="30">
        <f t="shared" si="5"/>
        <v>18.88</v>
      </c>
      <c r="O14" s="23">
        <v>12000</v>
      </c>
      <c r="P14" s="30">
        <f t="shared" si="6"/>
        <v>14.6</v>
      </c>
      <c r="Q14" s="30">
        <f t="shared" si="7"/>
        <v>21.88</v>
      </c>
    </row>
    <row r="15" s="4" customFormat="1" ht="18" hidden="1" customHeight="1" spans="1:17">
      <c r="A15" s="22"/>
      <c r="B15" s="22"/>
      <c r="C15" s="23">
        <v>300</v>
      </c>
      <c r="D15" s="24">
        <f t="shared" si="8"/>
        <v>2</v>
      </c>
      <c r="E15" s="24">
        <f t="shared" si="9"/>
        <v>2.75</v>
      </c>
      <c r="F15" s="23">
        <v>2200</v>
      </c>
      <c r="G15" s="30">
        <f t="shared" si="0"/>
        <v>6.94</v>
      </c>
      <c r="H15" s="30">
        <f t="shared" si="1"/>
        <v>9.53</v>
      </c>
      <c r="I15" s="23">
        <v>5750</v>
      </c>
      <c r="J15" s="30">
        <f t="shared" si="2"/>
        <v>10.9</v>
      </c>
      <c r="K15" s="30">
        <f t="shared" si="3"/>
        <v>16.07</v>
      </c>
      <c r="L15" s="23">
        <v>8250</v>
      </c>
      <c r="M15" s="30">
        <f t="shared" si="4"/>
        <v>12.9</v>
      </c>
      <c r="N15" s="30">
        <f t="shared" si="5"/>
        <v>19.19</v>
      </c>
      <c r="O15" s="23">
        <v>15000</v>
      </c>
      <c r="P15" s="30">
        <f t="shared" si="6"/>
        <v>15.05</v>
      </c>
      <c r="Q15" s="30">
        <f t="shared" si="7"/>
        <v>22.63</v>
      </c>
    </row>
    <row r="16" s="4" customFormat="1" ht="18" hidden="1" customHeight="1" spans="1:17">
      <c r="A16" s="22"/>
      <c r="B16" s="22"/>
      <c r="C16" s="23">
        <v>400</v>
      </c>
      <c r="D16" s="24">
        <f t="shared" si="8"/>
        <v>2.5</v>
      </c>
      <c r="E16" s="24">
        <f t="shared" si="9"/>
        <v>3.38</v>
      </c>
      <c r="F16" s="23">
        <v>2600</v>
      </c>
      <c r="G16" s="30">
        <f t="shared" si="0"/>
        <v>7.42</v>
      </c>
      <c r="H16" s="30">
        <f t="shared" si="1"/>
        <v>10.33</v>
      </c>
      <c r="I16" s="23">
        <v>6000</v>
      </c>
      <c r="J16" s="30">
        <f t="shared" si="2"/>
        <v>11.1</v>
      </c>
      <c r="K16" s="30">
        <f t="shared" si="3"/>
        <v>16.38</v>
      </c>
      <c r="L16" s="23">
        <v>8500</v>
      </c>
      <c r="M16" s="30">
        <f t="shared" si="4"/>
        <v>13.1</v>
      </c>
      <c r="N16" s="30">
        <f t="shared" si="5"/>
        <v>19.51</v>
      </c>
      <c r="O16" s="23">
        <v>20000</v>
      </c>
      <c r="P16" s="30">
        <f t="shared" si="6"/>
        <v>15.8</v>
      </c>
      <c r="Q16" s="30">
        <f t="shared" si="7"/>
        <v>23.88</v>
      </c>
    </row>
    <row r="17" s="4" customFormat="1" ht="18" hidden="1" customHeight="1" spans="1:17">
      <c r="A17" s="22"/>
      <c r="B17" s="22"/>
      <c r="C17" s="23">
        <v>500</v>
      </c>
      <c r="D17" s="24">
        <f t="shared" si="8"/>
        <v>3</v>
      </c>
      <c r="E17" s="24">
        <f t="shared" si="9"/>
        <v>4</v>
      </c>
      <c r="F17" s="23">
        <v>3000</v>
      </c>
      <c r="G17" s="30">
        <f t="shared" si="0"/>
        <v>7.9</v>
      </c>
      <c r="H17" s="30">
        <f t="shared" si="1"/>
        <v>11.13</v>
      </c>
      <c r="I17" s="23">
        <v>6250</v>
      </c>
      <c r="J17" s="30">
        <f t="shared" si="2"/>
        <v>11.3</v>
      </c>
      <c r="K17" s="30">
        <f t="shared" si="3"/>
        <v>16.69</v>
      </c>
      <c r="L17" s="23">
        <v>8750</v>
      </c>
      <c r="M17" s="30">
        <f t="shared" si="4"/>
        <v>13.3</v>
      </c>
      <c r="N17" s="30">
        <f t="shared" si="5"/>
        <v>19.82</v>
      </c>
      <c r="O17" s="23">
        <v>30000</v>
      </c>
      <c r="P17" s="30">
        <f t="shared" si="6"/>
        <v>17.3</v>
      </c>
      <c r="Q17" s="30">
        <f t="shared" si="7"/>
        <v>26.38</v>
      </c>
    </row>
    <row r="18" s="4" customFormat="1" ht="18" hidden="1" customHeight="1" spans="1:17">
      <c r="A18" s="22"/>
      <c r="B18" s="22"/>
      <c r="C18" s="23">
        <v>600</v>
      </c>
      <c r="D18" s="24">
        <f t="shared" si="8"/>
        <v>3.5</v>
      </c>
      <c r="E18" s="24">
        <f t="shared" si="9"/>
        <v>4.63</v>
      </c>
      <c r="F18" s="23">
        <v>3400</v>
      </c>
      <c r="G18" s="30">
        <f t="shared" si="0"/>
        <v>8.38</v>
      </c>
      <c r="H18" s="30">
        <f t="shared" si="1"/>
        <v>11.93</v>
      </c>
      <c r="I18" s="23">
        <v>6500</v>
      </c>
      <c r="J18" s="30">
        <f t="shared" si="2"/>
        <v>11.5</v>
      </c>
      <c r="K18" s="30">
        <f t="shared" si="3"/>
        <v>17.01</v>
      </c>
      <c r="L18" s="23">
        <v>9000</v>
      </c>
      <c r="M18" s="30">
        <f t="shared" si="4"/>
        <v>13.5</v>
      </c>
      <c r="N18" s="30">
        <f t="shared" si="5"/>
        <v>20.13</v>
      </c>
      <c r="O18" s="23">
        <v>40000</v>
      </c>
      <c r="P18" s="30">
        <f t="shared" si="6"/>
        <v>18.8</v>
      </c>
      <c r="Q18" s="30">
        <f t="shared" si="7"/>
        <v>28.88</v>
      </c>
    </row>
    <row r="19" s="4" customFormat="1" ht="18" hidden="1" customHeight="1" spans="1:17">
      <c r="A19" s="22"/>
      <c r="B19" s="22"/>
      <c r="C19" s="23">
        <v>700</v>
      </c>
      <c r="D19" s="24">
        <f t="shared" si="8"/>
        <v>4</v>
      </c>
      <c r="E19" s="24">
        <f t="shared" si="9"/>
        <v>5.25</v>
      </c>
      <c r="F19" s="23">
        <v>3800</v>
      </c>
      <c r="G19" s="30">
        <f t="shared" si="0"/>
        <v>8.86</v>
      </c>
      <c r="H19" s="30">
        <f t="shared" si="1"/>
        <v>12.73</v>
      </c>
      <c r="I19" s="23">
        <v>6750</v>
      </c>
      <c r="J19" s="30">
        <f t="shared" si="2"/>
        <v>11.7</v>
      </c>
      <c r="K19" s="30">
        <f t="shared" si="3"/>
        <v>17.32</v>
      </c>
      <c r="L19" s="23">
        <v>9250</v>
      </c>
      <c r="M19" s="30">
        <f t="shared" si="4"/>
        <v>13.7</v>
      </c>
      <c r="N19" s="30">
        <f t="shared" si="5"/>
        <v>20.44</v>
      </c>
      <c r="O19" s="23">
        <v>50000</v>
      </c>
      <c r="P19" s="30">
        <f t="shared" si="6"/>
        <v>20.3</v>
      </c>
      <c r="Q19" s="30">
        <f t="shared" si="7"/>
        <v>31.38</v>
      </c>
    </row>
    <row r="20" s="4" customFormat="1" ht="18" hidden="1" customHeight="1" spans="1:17">
      <c r="A20" s="22"/>
      <c r="B20" s="22"/>
      <c r="C20" s="23">
        <v>800</v>
      </c>
      <c r="D20" s="24">
        <f t="shared" si="8"/>
        <v>4.5</v>
      </c>
      <c r="E20" s="24">
        <f t="shared" si="9"/>
        <v>5.88</v>
      </c>
      <c r="F20" s="23">
        <v>4200</v>
      </c>
      <c r="G20" s="30">
        <f t="shared" si="0"/>
        <v>9.34</v>
      </c>
      <c r="H20" s="30">
        <f t="shared" si="1"/>
        <v>13.53</v>
      </c>
      <c r="I20" s="23">
        <v>7000</v>
      </c>
      <c r="J20" s="30">
        <f t="shared" si="2"/>
        <v>11.9</v>
      </c>
      <c r="K20" s="30">
        <f t="shared" si="3"/>
        <v>17.63</v>
      </c>
      <c r="L20" s="23">
        <v>9500</v>
      </c>
      <c r="M20" s="30">
        <f t="shared" si="4"/>
        <v>13.9</v>
      </c>
      <c r="N20" s="30">
        <f t="shared" si="5"/>
        <v>20.76</v>
      </c>
      <c r="O20" s="23">
        <v>65000</v>
      </c>
      <c r="P20" s="30">
        <f t="shared" si="6"/>
        <v>22.55</v>
      </c>
      <c r="Q20" s="30">
        <f t="shared" si="7"/>
        <v>35.13</v>
      </c>
    </row>
    <row r="21" s="4" customFormat="1" ht="18" hidden="1" customHeight="1" spans="1:17">
      <c r="A21" s="22"/>
      <c r="B21" s="22"/>
      <c r="C21" s="23">
        <v>900</v>
      </c>
      <c r="D21" s="24">
        <f t="shared" si="8"/>
        <v>5</v>
      </c>
      <c r="E21" s="24">
        <f t="shared" si="9"/>
        <v>6.5</v>
      </c>
      <c r="F21" s="23">
        <v>4600</v>
      </c>
      <c r="G21" s="30">
        <f t="shared" si="0"/>
        <v>9.82</v>
      </c>
      <c r="H21" s="30">
        <f t="shared" si="1"/>
        <v>14.33</v>
      </c>
      <c r="I21" s="23">
        <v>7250</v>
      </c>
      <c r="J21" s="30">
        <f t="shared" si="2"/>
        <v>12.1</v>
      </c>
      <c r="K21" s="30">
        <f t="shared" si="3"/>
        <v>17.94</v>
      </c>
      <c r="L21" s="23">
        <v>9750</v>
      </c>
      <c r="M21" s="30">
        <f t="shared" si="4"/>
        <v>14.1</v>
      </c>
      <c r="N21" s="30">
        <f t="shared" si="5"/>
        <v>21.07</v>
      </c>
      <c r="O21" s="23">
        <v>80000</v>
      </c>
      <c r="P21" s="30">
        <f t="shared" si="6"/>
        <v>24.8</v>
      </c>
      <c r="Q21" s="30">
        <f t="shared" si="7"/>
        <v>38.88</v>
      </c>
    </row>
    <row r="22" s="4" customFormat="1" ht="18" hidden="1" customHeight="1" spans="1:17">
      <c r="A22" s="22"/>
      <c r="B22" s="22"/>
      <c r="C22" s="23">
        <v>1000</v>
      </c>
      <c r="D22" s="24">
        <f t="shared" si="8"/>
        <v>5.5</v>
      </c>
      <c r="E22" s="24">
        <f t="shared" si="9"/>
        <v>7.13</v>
      </c>
      <c r="F22" s="23">
        <v>5000</v>
      </c>
      <c r="G22" s="30">
        <f t="shared" si="0"/>
        <v>10.3</v>
      </c>
      <c r="H22" s="30">
        <f t="shared" si="1"/>
        <v>15.13</v>
      </c>
      <c r="I22" s="23">
        <v>7500</v>
      </c>
      <c r="J22" s="30">
        <f t="shared" si="2"/>
        <v>12.3</v>
      </c>
      <c r="K22" s="30">
        <f t="shared" si="3"/>
        <v>18.26</v>
      </c>
      <c r="L22" s="23">
        <v>10000</v>
      </c>
      <c r="M22" s="30">
        <f t="shared" si="4"/>
        <v>14.3</v>
      </c>
      <c r="N22" s="30">
        <f t="shared" si="5"/>
        <v>21.38</v>
      </c>
      <c r="O22" s="23">
        <v>100000</v>
      </c>
      <c r="P22" s="30">
        <f t="shared" si="6"/>
        <v>27.8</v>
      </c>
      <c r="Q22" s="30">
        <f t="shared" si="7"/>
        <v>43.88</v>
      </c>
    </row>
    <row r="23" s="3" customFormat="1" spans="4:5">
      <c r="D23" s="25"/>
      <c r="E23" s="25"/>
    </row>
  </sheetData>
  <mergeCells count="21">
    <mergeCell ref="A1:P1"/>
    <mergeCell ref="A2:P2"/>
    <mergeCell ref="A3:P3"/>
    <mergeCell ref="E4:P4"/>
    <mergeCell ref="E5:F5"/>
    <mergeCell ref="G5:H5"/>
    <mergeCell ref="I5:J5"/>
    <mergeCell ref="K5:L5"/>
    <mergeCell ref="M5:N5"/>
    <mergeCell ref="O5:P5"/>
    <mergeCell ref="C7:D7"/>
    <mergeCell ref="F7:P7"/>
    <mergeCell ref="C9:D9"/>
    <mergeCell ref="A11:Q11"/>
    <mergeCell ref="A4:A7"/>
    <mergeCell ref="A8:A10"/>
    <mergeCell ref="B6:B7"/>
    <mergeCell ref="B8:B9"/>
    <mergeCell ref="Q4:Q7"/>
    <mergeCell ref="B4:D5"/>
    <mergeCell ref="A12:B2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计费对比表</vt:lpstr>
      <vt:lpstr>资产评估（高）</vt:lpstr>
      <vt:lpstr>房地产评估</vt:lpstr>
      <vt:lpstr>土地评估 </vt:lpstr>
      <vt:lpstr>资产评估（高低）</vt:lpstr>
      <vt:lpstr>资产评估（低）</vt:lpstr>
      <vt:lpstr>内蒙古标准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</dc:creator>
  <cp:lastModifiedBy>chj</cp:lastModifiedBy>
  <dcterms:created xsi:type="dcterms:W3CDTF">2010-08-07T01:43:00Z</dcterms:created>
  <cp:lastPrinted>2011-10-18T22:24:00Z</cp:lastPrinted>
  <dcterms:modified xsi:type="dcterms:W3CDTF">2022-06-13T13:16:31Z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2052-3.9.2.6301</vt:lpwstr>
  </property>
</Properties>
</file>